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Washington\HB 2311 - SA GHG Reporting\SA Calculator and Data\2021 SA Reports\FINAL Calc and Instructions\"/>
    </mc:Choice>
  </mc:AlternateContent>
  <workbookProtection workbookAlgorithmName="SHA-512" workbookHashValue="BSev3f/vsPfZSaP88FbiMf7UEFUqlj/ogas/Wrhd2fF51t8LS7cxgDrAVnhidJ3AtP+jdb8t7oqQO4bx37uzPg==" workbookSaltValue="n3nF5ojjdzgINu2Bak86Rw==" workbookSpinCount="100000" lockStructure="1"/>
  <bookViews>
    <workbookView xWindow="0" yWindow="0" windowWidth="23040" windowHeight="8616"/>
  </bookViews>
  <sheets>
    <sheet name="Instructions" sheetId="1" r:id="rId1"/>
    <sheet name="Report" sheetId="2" r:id="rId2"/>
    <sheet name="Reference" sheetId="3" r:id="rId3"/>
    <sheet name="Emission Reduction Estimates" sheetId="4" r:id="rId4"/>
    <sheet name="hide tab" sheetId="5" state="hidden" r:id="rId5"/>
  </sheets>
  <definedNames>
    <definedName name="A__WA_State_Avg_Retail_Electricity__kWh">Report!$B$27</definedName>
    <definedName name="AvGas_used">Report!$B$76</definedName>
    <definedName name="B100_CH4_MT_gal">Reference!$F$43</definedName>
    <definedName name="B100_CO2_MT_gal">Reference!$D$43</definedName>
    <definedName name="B100_N2O_MT_gal">Reference!$H$43</definedName>
    <definedName name="BlgDiesel__gals_used">Report!$B$41</definedName>
    <definedName name="BlgFuelOil__gals_used">Report!$B$43</definedName>
    <definedName name="BlgGasoline__gals_used">Report!$B$44</definedName>
    <definedName name="BlgNG__therms_used">Report!$B$40</definedName>
    <definedName name="BlgPropane__gals_used">Report!$B$42</definedName>
    <definedName name="CH4_EF_kg_MWh">'hide tab'!$D$20</definedName>
    <definedName name="Diesel_MTCH4_gal">Reference!$F$19</definedName>
    <definedName name="Diesel_MTCO2_gal">Reference!$D$19</definedName>
    <definedName name="Diesel_MTN2O_gal">Reference!$H$19</definedName>
    <definedName name="Electricity_generated___i.e._solar_photovoltaic__wind_or_other…___kWh">Report!$B$34</definedName>
    <definedName name="Fleet_Diesel_Ferries_used">Report!$B$72</definedName>
    <definedName name="FleetAvGas_use">Report!$B$76</definedName>
    <definedName name="FuelOil_MTCH4_gal">Reference!$F$21</definedName>
    <definedName name="FuelOil_MTCO2_gal">Reference!$D$21</definedName>
    <definedName name="FuelOil_MTN2O_gal">Reference!$H$21</definedName>
    <definedName name="Gasoline_MTCO2_gal">Reference!$D$22</definedName>
    <definedName name="Gasoline_MTN2O_gal">Reference!$H$22</definedName>
    <definedName name="Gasonline_MTCH4_gal">Reference!$F$22</definedName>
    <definedName name="GWP_CH4">Reference!$B$51</definedName>
    <definedName name="GWP_N2O">Reference!$B$52</definedName>
    <definedName name="kBTUperkWh">Reference!$A$9</definedName>
    <definedName name="MMBtu_per_klb">Reference!$A$10</definedName>
    <definedName name="MVDieselBulk_gals_used">Report!$B$62</definedName>
    <definedName name="MVDieselRetail_gals_used">Report!$B$60</definedName>
    <definedName name="MVDieselWSDOT_gals_used">Report!$B$61</definedName>
    <definedName name="MVGasoline_gas_used">Report!$B$59</definedName>
    <definedName name="MVPropane_gals_used">Report!$B$63</definedName>
    <definedName name="N2O_EF_kg_MWh">'hide tab'!$E$20</definedName>
    <definedName name="NG_MTCH4_therm">Reference!$F$15</definedName>
    <definedName name="NG_MTCO2_therm">Reference!$D$15</definedName>
    <definedName name="NG_MTN2O_therms">Reference!$H$15</definedName>
    <definedName name="Propane_MTCH4_gal">Reference!$F$20</definedName>
    <definedName name="Propane_MTCO2_gal">Reference!$D$20</definedName>
    <definedName name="Propane_MTN2O_gal">Reference!$H$20</definedName>
    <definedName name="Purchased_electricity___WA_Avg_CO2EF">Reference!$C$27</definedName>
    <definedName name="Purchased_electricity_from_green_contract__kWh">Report!$B$31</definedName>
    <definedName name="Purchased_Steam__klbs">Report!$B$50</definedName>
    <definedName name="Renewable_thermal_heating_cooling">Report!$B$47</definedName>
    <definedName name="Total_conditioned_space__sq._ft.">Report!$B$21</definedName>
    <definedName name="WA_Elect_MT_CO2_kWh">Reference!$D$27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4" l="1"/>
  <c r="D73" i="4"/>
  <c r="B21" i="2" l="1"/>
  <c r="C34" i="5" l="1"/>
  <c r="C31" i="5"/>
  <c r="C27" i="5"/>
  <c r="B50" i="5" l="1"/>
  <c r="B47" i="5"/>
  <c r="C50" i="5"/>
  <c r="B44" i="5"/>
  <c r="B43" i="5"/>
  <c r="B42" i="5"/>
  <c r="B41" i="5"/>
  <c r="B40" i="5"/>
  <c r="B34" i="5"/>
  <c r="B31" i="5"/>
  <c r="B27" i="5"/>
  <c r="C44" i="5"/>
  <c r="C43" i="5"/>
  <c r="C42" i="5"/>
  <c r="C41" i="5"/>
  <c r="C40" i="5"/>
  <c r="E65" i="4"/>
  <c r="D65" i="4"/>
  <c r="C52" i="5" l="1"/>
  <c r="F65" i="4"/>
  <c r="K50" i="4"/>
  <c r="L50" i="4" s="1"/>
  <c r="M50" i="4" s="1"/>
  <c r="N50" i="4" s="1"/>
  <c r="O50" i="4" s="1"/>
  <c r="P50" i="4" s="1"/>
  <c r="Q50" i="4" s="1"/>
  <c r="R50" i="4" s="1"/>
  <c r="S50" i="4" s="1"/>
  <c r="T50" i="4" s="1"/>
  <c r="C65" i="4" l="1"/>
  <c r="C61" i="4"/>
  <c r="C62" i="4"/>
  <c r="C60" i="4"/>
  <c r="C59" i="4"/>
  <c r="C58" i="4"/>
  <c r="C57" i="4"/>
  <c r="B58" i="4"/>
  <c r="B59" i="4"/>
  <c r="B60" i="4"/>
  <c r="B61" i="4"/>
  <c r="B62" i="4"/>
  <c r="B57" i="4"/>
  <c r="C53" i="4"/>
  <c r="F95" i="3"/>
  <c r="B53" i="4" s="1"/>
  <c r="C50" i="4"/>
  <c r="E58" i="4" l="1"/>
  <c r="D58" i="4"/>
  <c r="D53" i="4"/>
  <c r="E53" i="4"/>
  <c r="E59" i="4"/>
  <c r="D59" i="4"/>
  <c r="E57" i="4"/>
  <c r="D57" i="4"/>
  <c r="E62" i="4"/>
  <c r="D62" i="4"/>
  <c r="E61" i="4"/>
  <c r="D61" i="4"/>
  <c r="E60" i="4"/>
  <c r="D60" i="4"/>
  <c r="F57" i="4" l="1"/>
  <c r="F62" i="4"/>
  <c r="F58" i="4"/>
  <c r="F61" i="4"/>
  <c r="F60" i="4"/>
  <c r="F59" i="4"/>
  <c r="F53" i="4"/>
  <c r="I120" i="2"/>
  <c r="H111" i="2" l="1"/>
  <c r="I122" i="2"/>
  <c r="H122" i="2"/>
  <c r="H120" i="2"/>
  <c r="I115" i="2"/>
  <c r="H115" i="2"/>
  <c r="I114" i="2"/>
  <c r="H114" i="2"/>
  <c r="I112" i="2"/>
  <c r="H112" i="2"/>
  <c r="I113" i="2"/>
  <c r="H113" i="2"/>
  <c r="I111" i="2"/>
  <c r="C20" i="5"/>
  <c r="B20" i="5"/>
  <c r="D19" i="5"/>
  <c r="E19" i="5"/>
  <c r="E18" i="5"/>
  <c r="D18" i="5"/>
  <c r="E20" i="5" l="1"/>
  <c r="G27" i="3" s="1"/>
  <c r="H27" i="3" s="1"/>
  <c r="D102" i="2" s="1"/>
  <c r="D20" i="5"/>
  <c r="E27" i="3" s="1"/>
  <c r="F27" i="3" s="1"/>
  <c r="C102" i="2" s="1"/>
  <c r="D27" i="3"/>
  <c r="B102" i="2" l="1"/>
  <c r="F28" i="4"/>
  <c r="G28" i="4"/>
  <c r="K24" i="4"/>
  <c r="L24" i="4" s="1"/>
  <c r="M24" i="4" s="1"/>
  <c r="N24" i="4" s="1"/>
  <c r="O24" i="4" s="1"/>
  <c r="P24" i="4" s="1"/>
  <c r="Q24" i="4" s="1"/>
  <c r="R24" i="4" s="1"/>
  <c r="S24" i="4" s="1"/>
  <c r="T24" i="4" s="1"/>
  <c r="H28" i="4" l="1"/>
  <c r="B50" i="4"/>
  <c r="E50" i="4" l="1"/>
  <c r="E67" i="4" s="1"/>
  <c r="D50" i="4"/>
  <c r="D67" i="4" s="1"/>
  <c r="B6" i="2"/>
  <c r="M51" i="4" l="1"/>
  <c r="K51" i="4"/>
  <c r="N51" i="4"/>
  <c r="O51" i="4"/>
  <c r="P51" i="4"/>
  <c r="Q51" i="4"/>
  <c r="R51" i="4"/>
  <c r="S51" i="4"/>
  <c r="L51" i="4"/>
  <c r="T51" i="4"/>
  <c r="O52" i="4"/>
  <c r="P52" i="4"/>
  <c r="Q52" i="4"/>
  <c r="R52" i="4"/>
  <c r="S52" i="4"/>
  <c r="L52" i="4"/>
  <c r="T52" i="4"/>
  <c r="M52" i="4"/>
  <c r="K52" i="4"/>
  <c r="N52" i="4"/>
  <c r="F50" i="4"/>
  <c r="F67" i="4" s="1"/>
  <c r="K53" i="4" s="1"/>
  <c r="I123" i="2"/>
  <c r="I118" i="2"/>
  <c r="I117" i="2"/>
  <c r="H123" i="2"/>
  <c r="H118" i="2"/>
  <c r="H117" i="2"/>
  <c r="H124" i="2" l="1"/>
  <c r="L53" i="4"/>
  <c r="M53" i="4" s="1"/>
  <c r="N53" i="4" s="1"/>
  <c r="O53" i="4" s="1"/>
  <c r="P53" i="4" s="1"/>
  <c r="Q53" i="4" s="1"/>
  <c r="R53" i="4" s="1"/>
  <c r="S53" i="4" s="1"/>
  <c r="T53" i="4" s="1"/>
  <c r="I124" i="2"/>
  <c r="C53" i="5" l="1"/>
  <c r="C54" i="5" s="1"/>
  <c r="D15" i="3" l="1"/>
  <c r="B96" i="2" s="1"/>
  <c r="F30" i="4" l="1"/>
  <c r="G30" i="4"/>
  <c r="H30" i="4" l="1"/>
  <c r="G46" i="3"/>
  <c r="H46" i="3" s="1"/>
  <c r="D123" i="2" s="1"/>
  <c r="E46" i="3"/>
  <c r="F46" i="3" s="1"/>
  <c r="C123" i="2" s="1"/>
  <c r="D46" i="3"/>
  <c r="G45" i="3"/>
  <c r="H45" i="3" s="1"/>
  <c r="E45" i="3"/>
  <c r="F45" i="3" s="1"/>
  <c r="D45" i="3"/>
  <c r="G44" i="3"/>
  <c r="H44" i="3" s="1"/>
  <c r="D115" i="2" s="1"/>
  <c r="E44" i="3"/>
  <c r="F44" i="3" s="1"/>
  <c r="C115" i="2" s="1"/>
  <c r="D44" i="3"/>
  <c r="G43" i="3"/>
  <c r="H43" i="3" s="1"/>
  <c r="E43" i="3"/>
  <c r="F43" i="3" s="1"/>
  <c r="D43" i="3"/>
  <c r="G42" i="3"/>
  <c r="H42" i="3" s="1"/>
  <c r="E42" i="3"/>
  <c r="F42" i="3" s="1"/>
  <c r="D42" i="3"/>
  <c r="G41" i="3"/>
  <c r="H41" i="3" s="1"/>
  <c r="E41" i="3"/>
  <c r="F41" i="3" s="1"/>
  <c r="D41" i="3"/>
  <c r="G40" i="3"/>
  <c r="H40" i="3" s="1"/>
  <c r="E40" i="3"/>
  <c r="F40" i="3" s="1"/>
  <c r="D40" i="3"/>
  <c r="G32" i="3"/>
  <c r="H32" i="3" s="1"/>
  <c r="D103" i="2" s="1"/>
  <c r="E32" i="3"/>
  <c r="F32" i="3" s="1"/>
  <c r="C103" i="2" s="1"/>
  <c r="D32" i="3"/>
  <c r="B103" i="2" s="1"/>
  <c r="E102" i="2"/>
  <c r="G22" i="3"/>
  <c r="H22" i="3" s="1"/>
  <c r="D100" i="2" s="1"/>
  <c r="E22" i="3"/>
  <c r="F22" i="3" s="1"/>
  <c r="C100" i="2" s="1"/>
  <c r="D22" i="3"/>
  <c r="B100" i="2" s="1"/>
  <c r="G21" i="3"/>
  <c r="H21" i="3" s="1"/>
  <c r="D99" i="2" s="1"/>
  <c r="E21" i="3"/>
  <c r="F21" i="3" s="1"/>
  <c r="C99" i="2" s="1"/>
  <c r="D21" i="3"/>
  <c r="B99" i="2" s="1"/>
  <c r="G20" i="3"/>
  <c r="H20" i="3" s="1"/>
  <c r="D98" i="2" s="1"/>
  <c r="E20" i="3"/>
  <c r="F20" i="3" s="1"/>
  <c r="C98" i="2" s="1"/>
  <c r="D20" i="3"/>
  <c r="B98" i="2" s="1"/>
  <c r="G19" i="3"/>
  <c r="H19" i="3" s="1"/>
  <c r="D97" i="2" s="1"/>
  <c r="E19" i="3"/>
  <c r="F19" i="3" s="1"/>
  <c r="C97" i="2" s="1"/>
  <c r="D19" i="3"/>
  <c r="B97" i="2" s="1"/>
  <c r="G15" i="3"/>
  <c r="H15" i="3" s="1"/>
  <c r="D96" i="2" s="1"/>
  <c r="E15" i="3"/>
  <c r="F15" i="3" s="1"/>
  <c r="C96" i="2" s="1"/>
  <c r="G24" i="4" l="1"/>
  <c r="F24" i="4"/>
  <c r="G26" i="4"/>
  <c r="F26" i="4"/>
  <c r="H26" i="4" s="1"/>
  <c r="C105" i="2"/>
  <c r="D105" i="2"/>
  <c r="C122" i="2"/>
  <c r="G120" i="2"/>
  <c r="G113" i="2"/>
  <c r="G118" i="2"/>
  <c r="B105" i="2"/>
  <c r="E100" i="2"/>
  <c r="C113" i="2"/>
  <c r="C114" i="2"/>
  <c r="C112" i="2"/>
  <c r="C120" i="2"/>
  <c r="C118" i="2"/>
  <c r="F111" i="2"/>
  <c r="D112" i="2"/>
  <c r="D113" i="2"/>
  <c r="D114" i="2"/>
  <c r="D118" i="2"/>
  <c r="D120" i="2"/>
  <c r="E97" i="2"/>
  <c r="C117" i="2"/>
  <c r="C111" i="2"/>
  <c r="D122" i="2"/>
  <c r="E98" i="2"/>
  <c r="D117" i="2"/>
  <c r="D111" i="2"/>
  <c r="E96" i="2"/>
  <c r="E99" i="2"/>
  <c r="E103" i="2"/>
  <c r="F35" i="4"/>
  <c r="G35" i="4"/>
  <c r="F115" i="2"/>
  <c r="B115" i="2" s="1"/>
  <c r="E115" i="2" s="1"/>
  <c r="G114" i="2"/>
  <c r="F112" i="2"/>
  <c r="F113" i="2"/>
  <c r="G112" i="2"/>
  <c r="F114" i="2"/>
  <c r="F120" i="2"/>
  <c r="F118" i="2"/>
  <c r="F117" i="2"/>
  <c r="F122" i="2"/>
  <c r="B122" i="2" s="1"/>
  <c r="F32" i="4"/>
  <c r="G32" i="4"/>
  <c r="F33" i="4"/>
  <c r="G33" i="4"/>
  <c r="G117" i="2"/>
  <c r="G111" i="2"/>
  <c r="G36" i="4"/>
  <c r="F36" i="4"/>
  <c r="F123" i="2"/>
  <c r="B123" i="2" s="1"/>
  <c r="E123" i="2" s="1"/>
  <c r="F34" i="4"/>
  <c r="G34" i="4"/>
  <c r="H32" i="4" l="1"/>
  <c r="G38" i="4"/>
  <c r="F38" i="4"/>
  <c r="E105" i="2"/>
  <c r="B87" i="2" s="1"/>
  <c r="B111" i="2"/>
  <c r="C124" i="2"/>
  <c r="D124" i="2"/>
  <c r="F124" i="2"/>
  <c r="G124" i="2"/>
  <c r="H36" i="4"/>
  <c r="E122" i="2"/>
  <c r="B112" i="2"/>
  <c r="E112" i="2" s="1"/>
  <c r="H34" i="4"/>
  <c r="B120" i="2"/>
  <c r="E120" i="2" s="1"/>
  <c r="H35" i="4"/>
  <c r="B114" i="2"/>
  <c r="E114" i="2" s="1"/>
  <c r="H33" i="4"/>
  <c r="B113" i="2"/>
  <c r="E113" i="2" s="1"/>
  <c r="H24" i="4"/>
  <c r="B118" i="2"/>
  <c r="E118" i="2" s="1"/>
  <c r="B117" i="2"/>
  <c r="E117" i="2" s="1"/>
  <c r="S26" i="4" l="1"/>
  <c r="K26" i="4"/>
  <c r="M26" i="4"/>
  <c r="L26" i="4"/>
  <c r="T26" i="4"/>
  <c r="R26" i="4"/>
  <c r="P26" i="4"/>
  <c r="O26" i="4"/>
  <c r="Q26" i="4"/>
  <c r="N26" i="4"/>
  <c r="S25" i="4"/>
  <c r="L25" i="4"/>
  <c r="K25" i="4"/>
  <c r="P25" i="4"/>
  <c r="R25" i="4"/>
  <c r="T25" i="4"/>
  <c r="M25" i="4"/>
  <c r="N25" i="4"/>
  <c r="O25" i="4"/>
  <c r="Q25" i="4"/>
  <c r="E111" i="2"/>
  <c r="E124" i="2" s="1"/>
  <c r="B88" i="2" s="1"/>
  <c r="B89" i="2" s="1"/>
  <c r="B124" i="2"/>
  <c r="F68" i="4" l="1"/>
  <c r="K27" i="4"/>
  <c r="L27" i="4" s="1"/>
  <c r="M27" i="4" s="1"/>
  <c r="N27" i="4" s="1"/>
  <c r="O27" i="4" s="1"/>
  <c r="P27" i="4" s="1"/>
  <c r="Q27" i="4" s="1"/>
  <c r="R27" i="4" s="1"/>
  <c r="S27" i="4" s="1"/>
  <c r="T27" i="4" s="1"/>
  <c r="H39" i="4" s="1"/>
</calcChain>
</file>

<file path=xl/comments1.xml><?xml version="1.0" encoding="utf-8"?>
<comments xmlns="http://schemas.openxmlformats.org/spreadsheetml/2006/main">
  <authors>
    <author>Waterman-Hoey, Stacey (ECY)</author>
  </authors>
  <commentList>
    <comment ref="A10" authorId="0" shapeId="0">
      <text>
        <r>
          <rPr>
            <b/>
            <sz val="9"/>
            <color indexed="81"/>
            <rFont val="Tahoma"/>
            <family val="2"/>
          </rPr>
          <t>Waterman-Hoey, Stacey (ECY):</t>
        </r>
        <r>
          <rPr>
            <sz val="9"/>
            <color indexed="81"/>
            <rFont val="Tahoma"/>
            <family val="2"/>
          </rPr>
          <t xml:space="preserve">
SEEP Agencies: this is your SEEP Governing Council member. 
Non-SEEP agencies: enter your agency executive leadership member who reviewed and approved this report.  </t>
        </r>
      </text>
    </comment>
    <comment ref="A16" authorId="0" shapeId="0">
      <text>
        <r>
          <rPr>
            <b/>
            <sz val="9"/>
            <color indexed="81"/>
            <rFont val="Tahoma"/>
            <family val="2"/>
          </rPr>
          <t>Waterman-Hoey, Stacey (ECY):</t>
        </r>
        <r>
          <rPr>
            <sz val="9"/>
            <color indexed="81"/>
            <rFont val="Tahoma"/>
            <family val="2"/>
          </rPr>
          <t xml:space="preserve">
Source for this data: OFM Facilities Inventory System
https://ofm.wa.gov/facilities/facilities-inventory</t>
        </r>
      </text>
    </comment>
    <comment ref="A33" authorId="0" shapeId="0">
      <text>
        <r>
          <rPr>
            <b/>
            <sz val="9"/>
            <color indexed="81"/>
            <rFont val="Tahoma"/>
            <family val="2"/>
          </rPr>
          <t>Waterman-Hoey, Stacey (ECY):</t>
        </r>
        <r>
          <rPr>
            <sz val="9"/>
            <color indexed="81"/>
            <rFont val="Tahoma"/>
            <family val="2"/>
          </rPr>
          <t xml:space="preserve">
If the agency sells the RECS (renewable energy credits) from its self-generated electricity it may not report the source as renewable. Likewise, electricity from a community solar program may not be reported as renewable if the utility retains the RECs for its own use.
</t>
        </r>
      </text>
    </comment>
    <comment ref="A34" authorId="0" shapeId="0">
      <text>
        <r>
          <rPr>
            <b/>
            <sz val="9"/>
            <color indexed="81"/>
            <rFont val="Tahoma"/>
            <family val="2"/>
          </rPr>
          <t>Waterman-Hoey, Stacey (ECY):</t>
        </r>
        <r>
          <rPr>
            <sz val="9"/>
            <color indexed="81"/>
            <rFont val="Tahoma"/>
            <family val="2"/>
          </rPr>
          <t xml:space="preserve">
Definition of Renewable Resources (RCW 19.285.030)
"Renewable resource" means: (a) Water; (b) wind; (c) solar energy; (d) geothermal energy; (e) landfill gas; (f) wave, ocean, or tidal power; (g) gas from sewage treatment facilities; (h) biodiesel fuel that is not derived from crops raised on land cleared from old growth or first-growth forests where the clearing occurred after December 7, 2006; or (i) biomass energy.
</t>
        </r>
      </text>
    </comment>
    <comment ref="A38" authorId="0" shapeId="0">
      <text>
        <r>
          <rPr>
            <b/>
            <sz val="9"/>
            <color indexed="81"/>
            <rFont val="Tahoma"/>
            <family val="2"/>
          </rPr>
          <t>Waterman-Hoey, Stacey (ECY):</t>
        </r>
        <r>
          <rPr>
            <sz val="9"/>
            <color indexed="81"/>
            <rFont val="Tahoma"/>
            <family val="2"/>
          </rPr>
          <t xml:space="preserve">
For example, from boilers, furnaces, generators or any other on-site combustion from non-mobile sources.</t>
        </r>
      </text>
    </comment>
  </commentList>
</comments>
</file>

<file path=xl/comments2.xml><?xml version="1.0" encoding="utf-8"?>
<comments xmlns="http://schemas.openxmlformats.org/spreadsheetml/2006/main">
  <authors>
    <author>Bruns, Emily (ECY)</author>
    <author>Waterman-Hoey, Stacey (ECY)</author>
  </authors>
  <commentList>
    <comment ref="B10" authorId="0" shapeId="0">
      <text>
        <r>
          <rPr>
            <b/>
            <sz val="9"/>
            <color rgb="FF000000"/>
            <rFont val="Tahoma"/>
            <family val="2"/>
          </rPr>
          <t>Bruns, Emily (ECY):</t>
        </r>
        <r>
          <rPr>
            <sz val="9"/>
            <color rgb="FF000000"/>
            <rFont val="Tahoma"/>
            <family val="2"/>
          </rPr>
          <t xml:space="preserve">
Source: EPA Energy Star Program</t>
        </r>
      </text>
    </comment>
    <comment ref="A17" authorId="1" shapeId="0">
      <text>
        <r>
          <rPr>
            <b/>
            <sz val="9"/>
            <color indexed="81"/>
            <rFont val="Tahoma"/>
            <family val="2"/>
          </rPr>
          <t>Waterman-Hoey, Stacey (ECY):</t>
        </r>
        <r>
          <rPr>
            <sz val="9"/>
            <color indexed="81"/>
            <rFont val="Tahoma"/>
            <family val="2"/>
          </rPr>
          <t xml:space="preserve">
This source is not updated annually: 
CO2, CH4, and N2O purchased steam EFs - EPA Emission Factors for Greenhouse Gas Inventories
https://www.epa.gov/sites/default/files/2018-03/documents/emission-factors_mar_2018_0.pdf</t>
        </r>
      </text>
    </comment>
    <comment ref="A27" authorId="1" shapeId="0">
      <text>
        <r>
          <rPr>
            <b/>
            <sz val="9"/>
            <color indexed="81"/>
            <rFont val="Tahoma"/>
            <family val="2"/>
          </rPr>
          <t>Waterman-Hoey, Stacey (ECY):</t>
        </r>
        <r>
          <rPr>
            <sz val="9"/>
            <color indexed="81"/>
            <rFont val="Tahoma"/>
            <family val="2"/>
          </rPr>
          <t xml:space="preserve">
CO2 EF based on FMD 3 yr avg. See spreadsheet: "FMD EF updated for 2021 SA report" 12_09_2021"
CH4 and N2O are averaged from 2018 and 2019 NWPP eGRID:
https://www.epa.gov/egrid/data-explorer</t>
        </r>
      </text>
    </comment>
    <comment ref="A32" authorId="1" shapeId="0">
      <text>
        <r>
          <rPr>
            <b/>
            <sz val="9"/>
            <color indexed="81"/>
            <rFont val="Tahoma"/>
            <family val="2"/>
          </rPr>
          <t>Waterman-Hoey, Stacey (ECY):</t>
        </r>
        <r>
          <rPr>
            <sz val="9"/>
            <color indexed="81"/>
            <rFont val="Tahoma"/>
            <family val="2"/>
          </rPr>
          <t xml:space="preserve">
This source is not updated regularly: 
CO2, CH4, and N2O purchased steam EFs - EPA Emission Factors for Greenhouse Gas Inventories
https://www.epa.gov/sites/default/files/2018-03/documents/emission-factors_mar_2018_0.pdf</t>
        </r>
      </text>
    </comment>
    <comment ref="B94" authorId="1" shapeId="0">
      <text>
        <r>
          <rPr>
            <b/>
            <sz val="9"/>
            <color indexed="81"/>
            <rFont val="Tahoma"/>
            <family val="2"/>
          </rPr>
          <t>Waterman-Hoey, Stacey (ECY):</t>
        </r>
        <r>
          <rPr>
            <sz val="9"/>
            <color indexed="81"/>
            <rFont val="Tahoma"/>
            <family val="2"/>
          </rPr>
          <t xml:space="preserve">
Source: 2020 EIA Electric Sales and Revenue, Table 10, All Retail Customers
https://www.eia.gov/electricity/sales_revenue_price/</t>
        </r>
      </text>
    </comment>
  </commentList>
</comments>
</file>

<file path=xl/comments3.xml><?xml version="1.0" encoding="utf-8"?>
<comments xmlns="http://schemas.openxmlformats.org/spreadsheetml/2006/main">
  <authors>
    <author>Waterman-Hoey, Stacey (ECY)</author>
  </authors>
  <commentList>
    <comment ref="A5" authorId="0" shapeId="0">
      <text>
        <r>
          <rPr>
            <b/>
            <sz val="9"/>
            <color indexed="81"/>
            <rFont val="Tahoma"/>
            <family val="2"/>
          </rPr>
          <t>Waterman-Hoey, Stacey (ECY):</t>
        </r>
        <r>
          <rPr>
            <sz val="9"/>
            <color indexed="81"/>
            <rFont val="Tahoma"/>
            <family val="2"/>
          </rPr>
          <t xml:space="preserve">
The Clean Energy Transformation Act (CETA) (SB 5116, 2019) requires that electricity providers eliminate coal by 2025, be GHG neutral by 2030 and 100% clean by 2045.  The intent of this law is to eliminate fossil fuels from the electricity supply. 
https://www.commerce.wa.gov/growing-the-economy/energy/ceta/</t>
        </r>
      </text>
    </comment>
    <comment ref="B50" authorId="0" shapeId="0">
      <text>
        <r>
          <rPr>
            <b/>
            <sz val="9"/>
            <color indexed="81"/>
            <rFont val="Tahoma"/>
            <family val="2"/>
          </rPr>
          <t>Waterman-Hoey, Stacey (ECY):</t>
        </r>
        <r>
          <rPr>
            <sz val="9"/>
            <color indexed="81"/>
            <rFont val="Tahoma"/>
            <family val="2"/>
          </rPr>
          <t xml:space="preserve">
Select WA State average $/kwh ($.080) or average utility $/kwh from reference sheet, or enter your own $/kwh data.</t>
        </r>
      </text>
    </comment>
    <comment ref="B53" authorId="0" shapeId="0">
      <text>
        <r>
          <rPr>
            <b/>
            <sz val="9"/>
            <color indexed="81"/>
            <rFont val="Tahoma"/>
            <family val="2"/>
          </rPr>
          <t>Waterman-Hoey, Stacey (ECY):</t>
        </r>
        <r>
          <rPr>
            <sz val="9"/>
            <color indexed="81"/>
            <rFont val="Tahoma"/>
            <family val="2"/>
          </rPr>
          <t xml:space="preserve">
Use default WA Commercial sector retail price or enter your own $/therm data.
</t>
        </r>
      </text>
    </comment>
    <comment ref="B65" authorId="0" shapeId="0">
      <text>
        <r>
          <rPr>
            <b/>
            <sz val="9"/>
            <color indexed="81"/>
            <rFont val="Tahoma"/>
            <family val="2"/>
          </rPr>
          <t>Waterman-Hoey, Stacey (ECY):</t>
        </r>
        <r>
          <rPr>
            <sz val="9"/>
            <color indexed="81"/>
            <rFont val="Tahoma"/>
            <family val="2"/>
          </rPr>
          <t xml:space="preserve">
This data was unavailable</t>
        </r>
      </text>
    </comment>
  </commentList>
</comments>
</file>

<file path=xl/comments4.xml><?xml version="1.0" encoding="utf-8"?>
<comments xmlns="http://schemas.openxmlformats.org/spreadsheetml/2006/main">
  <authors>
    <author>Waterman-Hoey, Stacey (ECY)</author>
  </authors>
  <commentList>
    <comment ref="A33" authorId="0" shapeId="0">
      <text>
        <r>
          <rPr>
            <b/>
            <sz val="9"/>
            <color indexed="81"/>
            <rFont val="Tahoma"/>
            <family val="2"/>
          </rPr>
          <t>Waterman-Hoey, Stacey (ECY):</t>
        </r>
        <r>
          <rPr>
            <sz val="9"/>
            <color indexed="81"/>
            <rFont val="Tahoma"/>
            <family val="2"/>
          </rPr>
          <t xml:space="preserve">
If the agency sells the RECS (renewable energy credits) from its self-generated electricity it may not report the source as renewable. Likewise, electricity from a community solar program may not be reported as renewable if the utility retains the RECs for its own use.
</t>
        </r>
      </text>
    </comment>
    <comment ref="A34" authorId="0" shapeId="0">
      <text>
        <r>
          <rPr>
            <b/>
            <sz val="9"/>
            <color indexed="81"/>
            <rFont val="Tahoma"/>
            <family val="2"/>
          </rPr>
          <t>Waterman-Hoey, Stacey (ECY):</t>
        </r>
        <r>
          <rPr>
            <sz val="9"/>
            <color indexed="81"/>
            <rFont val="Tahoma"/>
            <family val="2"/>
          </rPr>
          <t xml:space="preserve">
Definition of Renewable Resources (RCW 19.285.030)
"Renewable resource" means: (a) Water; (b) wind; (c) solar energy; (d) geothermal energy; (e) landfill gas; (f) wave, ocean, or tidal power; (g) gas from sewage treatment facilities; (h) biodiesel fuel that is not derived from crops raised on land cleared from old growth or first-growth forests where the clearing occurred after December 7, 2006; or (i) biomass energy.
</t>
        </r>
      </text>
    </comment>
    <comment ref="A38" authorId="0" shapeId="0">
      <text>
        <r>
          <rPr>
            <b/>
            <sz val="9"/>
            <color indexed="81"/>
            <rFont val="Tahoma"/>
            <family val="2"/>
          </rPr>
          <t>Waterman-Hoey, Stacey (ECY):</t>
        </r>
        <r>
          <rPr>
            <sz val="9"/>
            <color indexed="81"/>
            <rFont val="Tahoma"/>
            <family val="2"/>
          </rPr>
          <t xml:space="preserve">
For example, from boilers, furnaces, generators or any other on-site combustion from non-mobile sources.</t>
        </r>
      </text>
    </comment>
  </commentList>
</comments>
</file>

<file path=xl/sharedStrings.xml><?xml version="1.0" encoding="utf-8"?>
<sst xmlns="http://schemas.openxmlformats.org/spreadsheetml/2006/main" count="621" uniqueCount="428">
  <si>
    <t>Agency owned space (sq. ft.)</t>
  </si>
  <si>
    <t>Space leased in a DES owned building (sq. ft.)</t>
  </si>
  <si>
    <t xml:space="preserve"> </t>
  </si>
  <si>
    <t>Space leased from another state agency (sq. ft.)</t>
  </si>
  <si>
    <t>Space leased in a privately owned building (sq. ft.)</t>
  </si>
  <si>
    <t>Section 1: Agency Information</t>
  </si>
  <si>
    <t>Emission Sources</t>
  </si>
  <si>
    <t>Fuel type</t>
  </si>
  <si>
    <t>Natural gas (therms)</t>
  </si>
  <si>
    <t>Diesel (gallons)</t>
  </si>
  <si>
    <t>Propane (gallons)</t>
  </si>
  <si>
    <t>Fuel oil (gallons)</t>
  </si>
  <si>
    <t>Gasoline (gallons)</t>
  </si>
  <si>
    <t>Motor Vehicles</t>
  </si>
  <si>
    <t>Fuel quantity (gallons)</t>
  </si>
  <si>
    <t>Biofuel (%)*</t>
  </si>
  <si>
    <t>Gasoline</t>
  </si>
  <si>
    <t>Diesel: Retail purchases</t>
  </si>
  <si>
    <t>Diesel: WSDOT fueling stations</t>
  </si>
  <si>
    <t>Diesel: Bulk purchases</t>
  </si>
  <si>
    <t>Propane</t>
  </si>
  <si>
    <t>Boats (excluding ferries)</t>
  </si>
  <si>
    <t>Diesel</t>
  </si>
  <si>
    <t>Ferries</t>
  </si>
  <si>
    <t>Aircraft</t>
  </si>
  <si>
    <t>Aviation gasoline</t>
  </si>
  <si>
    <t>Jet fuel</t>
  </si>
  <si>
    <t>Stationary combustion</t>
  </si>
  <si>
    <t>Natural gas</t>
  </si>
  <si>
    <t>Fuel oil</t>
  </si>
  <si>
    <t>Electricity</t>
  </si>
  <si>
    <t>Purchased steam</t>
  </si>
  <si>
    <t>Motor vehicles</t>
  </si>
  <si>
    <t>Reference Data</t>
  </si>
  <si>
    <t>Conversion Factors</t>
  </si>
  <si>
    <t>kg/MT</t>
  </si>
  <si>
    <t>lb/kg</t>
  </si>
  <si>
    <t>gal/bbl liquid fuel</t>
  </si>
  <si>
    <t>kWh/MWh</t>
  </si>
  <si>
    <t>MMBtu/klb steam</t>
  </si>
  <si>
    <t>Stationary Sources</t>
  </si>
  <si>
    <t>Fuel</t>
  </si>
  <si>
    <t>Diesel (distillate #2)</t>
  </si>
  <si>
    <t>Fleets</t>
  </si>
  <si>
    <t>Ethanol (E100)</t>
  </si>
  <si>
    <t xml:space="preserve">Diesel  </t>
  </si>
  <si>
    <t>Biodiesel (B100)</t>
  </si>
  <si>
    <t>Source: EPA 40 C.F.R Part 98</t>
  </si>
  <si>
    <t>Global Warming Potentials (100 yr)</t>
  </si>
  <si>
    <t>Source: WAC 173-441</t>
  </si>
  <si>
    <t>Reporters</t>
  </si>
  <si>
    <t>Fuel Type</t>
  </si>
  <si>
    <t>Fuel Quantity</t>
  </si>
  <si>
    <t xml:space="preserve">Bio/ Renewable Diesel % </t>
  </si>
  <si>
    <t>CO2e (MT)</t>
  </si>
  <si>
    <t>Section 2: Building Energy Use</t>
  </si>
  <si>
    <t>Section 3: Fleet Energy Use</t>
  </si>
  <si>
    <t>In 2020, the Legislature and Governor updated the State Agency Climate Leadership Act codified in RCW 70.235.050.  The Act directs state agencies, including universities, colleges, and community and technical colleges to lead by example in reducing their greenhouse gas (GHG) emissions to:</t>
  </si>
  <si>
    <t>https://ecology.wa.gov/Air-Climate/Climate-change/Greenhouse-gases/Greenhouse-gas-reporting/State-agency-greenhouse-gas-reports</t>
  </si>
  <si>
    <t>https://www.commerce.wa.gov/growing-the-economy/energy/state-efficiency-and-environmental-performance-seep/</t>
  </si>
  <si>
    <t>Washington State Efficiency and Environmental Performance (SEEP) Office:</t>
  </si>
  <si>
    <t xml:space="preserve">Reports from prior years and additional information about climate change can be found at Ecology's website: </t>
  </si>
  <si>
    <t>For questions and assistance, contact:</t>
  </si>
  <si>
    <t>Greenhouse Gas Emissions Analyst</t>
  </si>
  <si>
    <t xml:space="preserve">Climate Policy Section | Air Quality Program </t>
  </si>
  <si>
    <t>Washington Department of Ecology</t>
  </si>
  <si>
    <t>Stacey Waterman-Hoey</t>
  </si>
  <si>
    <t>Background for this Report</t>
  </si>
  <si>
    <t>State Agency Greenhouse Gas Emissions Calculator</t>
  </si>
  <si>
    <t>Puget Sound Partnership</t>
  </si>
  <si>
    <t>Electric Utilities</t>
  </si>
  <si>
    <r>
      <t>CO</t>
    </r>
    <r>
      <rPr>
        <vertAlign val="subscript"/>
        <sz val="12"/>
        <color rgb="FF000000"/>
        <rFont val="Calibri"/>
        <family val="2"/>
        <scheme val="minor"/>
      </rPr>
      <t>2</t>
    </r>
  </si>
  <si>
    <r>
      <t>CH</t>
    </r>
    <r>
      <rPr>
        <vertAlign val="subscript"/>
        <sz val="12"/>
        <color rgb="FF000000"/>
        <rFont val="Calibri"/>
        <family val="2"/>
        <scheme val="minor"/>
      </rPr>
      <t>4</t>
    </r>
  </si>
  <si>
    <r>
      <t>N</t>
    </r>
    <r>
      <rPr>
        <vertAlign val="subscript"/>
        <sz val="12"/>
        <color rgb="FF000000"/>
        <rFont val="Calibri"/>
        <family val="2"/>
        <scheme val="minor"/>
      </rPr>
      <t>2</t>
    </r>
    <r>
      <rPr>
        <sz val="12"/>
        <color rgb="FF000000"/>
        <rFont val="Calibri"/>
        <family val="2"/>
        <scheme val="minor"/>
      </rPr>
      <t>O</t>
    </r>
  </si>
  <si>
    <t>Enter agency data in yellow fields below</t>
  </si>
  <si>
    <t>Quantity</t>
  </si>
  <si>
    <t>Fuel quantity</t>
  </si>
  <si>
    <r>
      <t>CO</t>
    </r>
    <r>
      <rPr>
        <b/>
        <vertAlign val="subscript"/>
        <sz val="11"/>
        <color theme="1"/>
        <rFont val="Calibri"/>
        <family val="2"/>
        <scheme val="minor"/>
      </rPr>
      <t>2</t>
    </r>
    <r>
      <rPr>
        <b/>
        <sz val="11"/>
        <color theme="1"/>
        <rFont val="Calibri"/>
        <family val="2"/>
        <scheme val="minor"/>
      </rPr>
      <t xml:space="preserve"> emissions </t>
    </r>
  </si>
  <si>
    <t>(MT CO2)</t>
  </si>
  <si>
    <r>
      <t>CH</t>
    </r>
    <r>
      <rPr>
        <b/>
        <vertAlign val="subscript"/>
        <sz val="11"/>
        <color theme="1"/>
        <rFont val="Calibri"/>
        <family val="2"/>
        <scheme val="minor"/>
      </rPr>
      <t>4</t>
    </r>
    <r>
      <rPr>
        <b/>
        <sz val="11"/>
        <color theme="1"/>
        <rFont val="Calibri"/>
        <family val="2"/>
        <scheme val="minor"/>
      </rPr>
      <t xml:space="preserve"> emissions </t>
    </r>
  </si>
  <si>
    <t>(MT CH4)</t>
  </si>
  <si>
    <r>
      <t>N</t>
    </r>
    <r>
      <rPr>
        <b/>
        <vertAlign val="subscript"/>
        <sz val="11"/>
        <color theme="1"/>
        <rFont val="Calibri"/>
        <family val="2"/>
        <scheme val="minor"/>
      </rPr>
      <t>2</t>
    </r>
    <r>
      <rPr>
        <b/>
        <sz val="11"/>
        <color theme="1"/>
        <rFont val="Calibri"/>
        <family val="2"/>
        <scheme val="minor"/>
      </rPr>
      <t xml:space="preserve">O emissions </t>
    </r>
  </si>
  <si>
    <t>(MT N2O)</t>
  </si>
  <si>
    <t xml:space="preserve">Total emissions </t>
  </si>
  <si>
    <t>(MT CO2e)</t>
  </si>
  <si>
    <r>
      <t>Fossil CO</t>
    </r>
    <r>
      <rPr>
        <b/>
        <vertAlign val="subscript"/>
        <sz val="11"/>
        <color theme="1"/>
        <rFont val="Calibri"/>
        <family val="2"/>
        <scheme val="minor"/>
      </rPr>
      <t>2</t>
    </r>
    <r>
      <rPr>
        <b/>
        <sz val="11"/>
        <color theme="1"/>
        <rFont val="Calibri"/>
        <family val="2"/>
        <scheme val="minor"/>
      </rPr>
      <t xml:space="preserve"> emissions </t>
    </r>
  </si>
  <si>
    <r>
      <t>Biogenic CO</t>
    </r>
    <r>
      <rPr>
        <b/>
        <vertAlign val="subscript"/>
        <sz val="11"/>
        <color theme="1"/>
        <rFont val="Calibri"/>
        <family val="2"/>
        <scheme val="minor"/>
      </rPr>
      <t>2</t>
    </r>
    <r>
      <rPr>
        <b/>
        <sz val="11"/>
        <color theme="1"/>
        <rFont val="Calibri"/>
        <family val="2"/>
        <scheme val="minor"/>
      </rPr>
      <t xml:space="preserve"> emissions </t>
    </r>
  </si>
  <si>
    <t>Total Building Energy Use</t>
  </si>
  <si>
    <t>Agency Code</t>
  </si>
  <si>
    <t xml:space="preserve">Default high heat value </t>
  </si>
  <si>
    <t>(mmBtu/gallon)</t>
  </si>
  <si>
    <r>
      <t>CO</t>
    </r>
    <r>
      <rPr>
        <b/>
        <vertAlign val="subscript"/>
        <sz val="12"/>
        <rFont val="Calibri"/>
        <family val="2"/>
        <scheme val="minor"/>
      </rPr>
      <t>2</t>
    </r>
    <r>
      <rPr>
        <b/>
        <sz val="12"/>
        <rFont val="Calibri"/>
        <family val="2"/>
        <scheme val="minor"/>
      </rPr>
      <t xml:space="preserve"> emission factor </t>
    </r>
  </si>
  <si>
    <t>(MT CO2/bbl)</t>
  </si>
  <si>
    <r>
      <t>CO</t>
    </r>
    <r>
      <rPr>
        <b/>
        <vertAlign val="subscript"/>
        <sz val="12"/>
        <color rgb="FF000000"/>
        <rFont val="Calibri"/>
        <family val="2"/>
        <scheme val="minor"/>
      </rPr>
      <t>2</t>
    </r>
    <r>
      <rPr>
        <b/>
        <sz val="12"/>
        <color rgb="FF000000"/>
        <rFont val="Calibri"/>
        <family val="2"/>
        <scheme val="minor"/>
      </rPr>
      <t xml:space="preserve"> emission factor </t>
    </r>
  </si>
  <si>
    <t>(MT CO2/gallon)</t>
  </si>
  <si>
    <r>
      <t>CH</t>
    </r>
    <r>
      <rPr>
        <b/>
        <vertAlign val="subscript"/>
        <sz val="12"/>
        <rFont val="Calibri"/>
        <family val="2"/>
        <scheme val="minor"/>
      </rPr>
      <t>4</t>
    </r>
    <r>
      <rPr>
        <b/>
        <sz val="12"/>
        <rFont val="Calibri"/>
        <family val="2"/>
        <scheme val="minor"/>
      </rPr>
      <t xml:space="preserve"> emission factor </t>
    </r>
  </si>
  <si>
    <t>(kg CH4/mmBtu)</t>
  </si>
  <si>
    <t>(MT CH4/gallon)</t>
  </si>
  <si>
    <r>
      <t>N</t>
    </r>
    <r>
      <rPr>
        <b/>
        <vertAlign val="subscript"/>
        <sz val="12"/>
        <rFont val="Calibri"/>
        <family val="2"/>
        <scheme val="minor"/>
      </rPr>
      <t>2</t>
    </r>
    <r>
      <rPr>
        <b/>
        <sz val="12"/>
        <rFont val="Calibri"/>
        <family val="2"/>
        <scheme val="minor"/>
      </rPr>
      <t xml:space="preserve">O emissions factor </t>
    </r>
  </si>
  <si>
    <t>(kg N2O/mmBtu)</t>
  </si>
  <si>
    <r>
      <t>N</t>
    </r>
    <r>
      <rPr>
        <b/>
        <vertAlign val="subscript"/>
        <sz val="12"/>
        <rFont val="Calibri"/>
        <family val="2"/>
        <scheme val="minor"/>
      </rPr>
      <t>2</t>
    </r>
    <r>
      <rPr>
        <b/>
        <sz val="12"/>
        <rFont val="Calibri"/>
        <family val="2"/>
        <scheme val="minor"/>
      </rPr>
      <t xml:space="preserve">O emission factor </t>
    </r>
  </si>
  <si>
    <t>(MT N2O/gallon)</t>
  </si>
  <si>
    <t>(kg CO2/kWh)</t>
  </si>
  <si>
    <t>(MT CO2/kWh)</t>
  </si>
  <si>
    <t>(kg CH4/MWh)</t>
  </si>
  <si>
    <t>(MT CH4/kWh)</t>
  </si>
  <si>
    <t>(kg N2O/MWh)</t>
  </si>
  <si>
    <t>(MT N2O/kWh)</t>
  </si>
  <si>
    <t>Acre of tree CO2 capture per year</t>
  </si>
  <si>
    <t>Total Building Energy Use Emissions</t>
  </si>
  <si>
    <t>Total Fossil Fleet Energy Use Emissions</t>
  </si>
  <si>
    <t>Total Annual Fossil GHG Emissions</t>
  </si>
  <si>
    <t>(gal)</t>
  </si>
  <si>
    <t>Gasoline qty w/o biofuel</t>
  </si>
  <si>
    <t>Biofuel qty only</t>
  </si>
  <si>
    <t xml:space="preserve">Central Washington University </t>
  </si>
  <si>
    <t xml:space="preserve">Department of Agriculture </t>
  </si>
  <si>
    <t xml:space="preserve">Department of Commerce </t>
  </si>
  <si>
    <t xml:space="preserve">Department of Corrections </t>
  </si>
  <si>
    <t xml:space="preserve">Department of Ecology </t>
  </si>
  <si>
    <t xml:space="preserve">Department of Enterprise Services </t>
  </si>
  <si>
    <t xml:space="preserve">Department of Fish and Wildlife </t>
  </si>
  <si>
    <t xml:space="preserve">Department of Health </t>
  </si>
  <si>
    <t xml:space="preserve">Department of Labor and Industries </t>
  </si>
  <si>
    <t xml:space="preserve">Department of Licensing </t>
  </si>
  <si>
    <t xml:space="preserve">Department of Natural Resources </t>
  </si>
  <si>
    <t xml:space="preserve">Department of Social and Health Services </t>
  </si>
  <si>
    <t xml:space="preserve">Department of Transportation </t>
  </si>
  <si>
    <t xml:space="preserve">Department of Veterans' Affairs </t>
  </si>
  <si>
    <t xml:space="preserve">Eastern Washington University </t>
  </si>
  <si>
    <t xml:space="preserve">Highline College </t>
  </si>
  <si>
    <t xml:space="preserve">Liquor and Cannabis Board </t>
  </si>
  <si>
    <t xml:space="preserve">Seattle Community College - District 6 </t>
  </si>
  <si>
    <t xml:space="preserve">Spokane Community College - District 17 </t>
  </si>
  <si>
    <t xml:space="preserve">State Parks and Recreation </t>
  </si>
  <si>
    <t xml:space="preserve">The Evergreen State College </t>
  </si>
  <si>
    <t xml:space="preserve">University of Washington </t>
  </si>
  <si>
    <t xml:space="preserve">Washington State Patrol </t>
  </si>
  <si>
    <t xml:space="preserve">Washington State University </t>
  </si>
  <si>
    <t xml:space="preserve">Western Washington University </t>
  </si>
  <si>
    <t>AGR</t>
  </si>
  <si>
    <t>COM</t>
  </si>
  <si>
    <t>DOC</t>
  </si>
  <si>
    <t>ECY</t>
  </si>
  <si>
    <t>DES</t>
  </si>
  <si>
    <t>DFW</t>
  </si>
  <si>
    <t>DOH</t>
  </si>
  <si>
    <t>L&amp;I</t>
  </si>
  <si>
    <t>DOL</t>
  </si>
  <si>
    <t>DNR</t>
  </si>
  <si>
    <t>DSHS</t>
  </si>
  <si>
    <t>DOT</t>
  </si>
  <si>
    <t>DVA</t>
  </si>
  <si>
    <t>EWU</t>
  </si>
  <si>
    <t>HC</t>
  </si>
  <si>
    <t>LCB</t>
  </si>
  <si>
    <t>PARKS</t>
  </si>
  <si>
    <t>TESC</t>
  </si>
  <si>
    <t>UW</t>
  </si>
  <si>
    <t>WSP</t>
  </si>
  <si>
    <t>WSU</t>
  </si>
  <si>
    <t>WWU</t>
  </si>
  <si>
    <t>CWU</t>
  </si>
  <si>
    <t>Agency Abbreviation</t>
  </si>
  <si>
    <t>Date completed</t>
  </si>
  <si>
    <t>Office of Financial Management</t>
  </si>
  <si>
    <t>OFM</t>
  </si>
  <si>
    <t>SEACC</t>
  </si>
  <si>
    <t>SPOCC</t>
  </si>
  <si>
    <t>Washington State Parks</t>
  </si>
  <si>
    <t>WPARKS</t>
  </si>
  <si>
    <t>Governor's Office</t>
  </si>
  <si>
    <t>GO</t>
  </si>
  <si>
    <t>PSP</t>
  </si>
  <si>
    <t>Avista Corp</t>
  </si>
  <si>
    <t>Benton Rural Electric Assn</t>
  </si>
  <si>
    <t>Big Bend Electric Coop, Inc</t>
  </si>
  <si>
    <t>Bonneville Power Administration</t>
  </si>
  <si>
    <t>City of Chewelah</t>
  </si>
  <si>
    <t>Clearwater Power Company</t>
  </si>
  <si>
    <t>Columbia Rural Elec Assn, Inc</t>
  </si>
  <si>
    <t>Elmhurst Mutual Power &amp; Light Co</t>
  </si>
  <si>
    <t>Inland Power &amp; Light Company</t>
  </si>
  <si>
    <t>Kootenai Electric Cooperative</t>
  </si>
  <si>
    <t>Lakeview Light &amp; Power</t>
  </si>
  <si>
    <t>Modern Electric Water Company</t>
  </si>
  <si>
    <t>Nespelem Valley Elec Coop, Inc</t>
  </si>
  <si>
    <t>Northern Lights, Inc</t>
  </si>
  <si>
    <t>Ohop Mutual Light Company, Inc</t>
  </si>
  <si>
    <t>Okanogan County Elec Coop, Inc</t>
  </si>
  <si>
    <t>Orcas Power &amp; Light Coop</t>
  </si>
  <si>
    <t>PUD 1 of Snohomish County</t>
  </si>
  <si>
    <t>PUD No 1 of Asotin County</t>
  </si>
  <si>
    <t>PUD No 1 of Benton County</t>
  </si>
  <si>
    <t>PUD No 1 of Chelan County</t>
  </si>
  <si>
    <t>PUD No 1 of Clallam County</t>
  </si>
  <si>
    <t>PUD No 1 of Cowlitz County</t>
  </si>
  <si>
    <t>PUD No 1 of Douglas County</t>
  </si>
  <si>
    <t>PUD No 1 of Ferry County</t>
  </si>
  <si>
    <t>PUD No 1 of Franklin County</t>
  </si>
  <si>
    <t>PUD No 1 of Grays Harbor County</t>
  </si>
  <si>
    <t>PUD No 1 of Jefferson County</t>
  </si>
  <si>
    <t>PUD No 1 of Kittitas County</t>
  </si>
  <si>
    <t>PUD No 1 of Klickitat County</t>
  </si>
  <si>
    <t>PUD No 1 of Lewis County</t>
  </si>
  <si>
    <t>PUD No 1 of Mason County</t>
  </si>
  <si>
    <t>PUD No 1 of Okanogan County</t>
  </si>
  <si>
    <t>PUD No 1 of Pend Oreille County</t>
  </si>
  <si>
    <t>PUD No 1 of Skamania Co</t>
  </si>
  <si>
    <t>PUD No 1 of Wahkiakum County</t>
  </si>
  <si>
    <t>PUD No 1 of Whatcom County</t>
  </si>
  <si>
    <t>PUD No 2 of Grant County</t>
  </si>
  <si>
    <t>PUD No 2 of Pacific County</t>
  </si>
  <si>
    <t>PUD No 3 of Mason County</t>
  </si>
  <si>
    <t>PacifiCorp</t>
  </si>
  <si>
    <t>Parkland Light &amp; Water Company</t>
  </si>
  <si>
    <t>Peninsula Light Company</t>
  </si>
  <si>
    <t>Puget Sound Energy Inc</t>
  </si>
  <si>
    <t>SolarCity Corporation</t>
  </si>
  <si>
    <t>Tanner Electric Coop</t>
  </si>
  <si>
    <t>Town of Steilacoom</t>
  </si>
  <si>
    <t>Vera Irrigation District #15</t>
  </si>
  <si>
    <t xml:space="preserve">City of Blaine  </t>
  </si>
  <si>
    <t xml:space="preserve">City of Centralia  </t>
  </si>
  <si>
    <t xml:space="preserve">City of Cheney  </t>
  </si>
  <si>
    <t xml:space="preserve">City of Coulee Dam  </t>
  </si>
  <si>
    <t xml:space="preserve">City of Ellensburg  </t>
  </si>
  <si>
    <t xml:space="preserve">City of McCleary  </t>
  </si>
  <si>
    <t xml:space="preserve">City of Port Angeles  </t>
  </si>
  <si>
    <t xml:space="preserve">City of Richland  </t>
  </si>
  <si>
    <t xml:space="preserve">City of Seattle  </t>
  </si>
  <si>
    <t xml:space="preserve">City of Sumas  </t>
  </si>
  <si>
    <t xml:space="preserve">City of Tacoma  </t>
  </si>
  <si>
    <t xml:space="preserve">PUD No 1 of Clark County  </t>
  </si>
  <si>
    <t xml:space="preserve">Town of Eatonville  </t>
  </si>
  <si>
    <t>$/kwh</t>
  </si>
  <si>
    <t>Estimate Electricity Savings</t>
  </si>
  <si>
    <t>kwh savings (from table above)</t>
  </si>
  <si>
    <t>Natural Gas</t>
  </si>
  <si>
    <t>$/gal</t>
  </si>
  <si>
    <t>gallon savings</t>
  </si>
  <si>
    <t>$/therm</t>
  </si>
  <si>
    <t>therm savings</t>
  </si>
  <si>
    <t>Washington State Average</t>
  </si>
  <si>
    <t>https://www.epa.gov/energy/greenhouse-gas-equivalencies-calculator</t>
  </si>
  <si>
    <t>https://www.epa.gov/avert/avert-web-edition</t>
  </si>
  <si>
    <t>EPA Avoided Emissions Calculator:</t>
  </si>
  <si>
    <t>https://www.epa.gov/statelocalenergy/quantifying-multiple-benefits-energy-efficiency-and-renewable-energy-guide-state</t>
  </si>
  <si>
    <t>More on quantifying benefits of efficiency and renewables:</t>
  </si>
  <si>
    <t>Purchased Steam (klbs)</t>
  </si>
  <si>
    <t>Purchased Electricity - Green Power Contract</t>
  </si>
  <si>
    <t>Estimate Cost Savings</t>
  </si>
  <si>
    <t>Additional Tools and Resources:</t>
  </si>
  <si>
    <t xml:space="preserve">More GHG equivalencies here: </t>
  </si>
  <si>
    <t>Agency Name</t>
  </si>
  <si>
    <t>Total conditioned space (sq. ft.)</t>
  </si>
  <si>
    <t xml:space="preserve">Total Fleet Emissions from Energy Use </t>
  </si>
  <si>
    <t>PY2</t>
  </si>
  <si>
    <t>PY3</t>
  </si>
  <si>
    <t>PY4</t>
  </si>
  <si>
    <t>PY5</t>
  </si>
  <si>
    <t>PY6</t>
  </si>
  <si>
    <t>PY7</t>
  </si>
  <si>
    <t>PY8</t>
  </si>
  <si>
    <t>PY9</t>
  </si>
  <si>
    <t>PY10</t>
  </si>
  <si>
    <t>PY1</t>
  </si>
  <si>
    <t>Project Years</t>
  </si>
  <si>
    <t>MTCO2 per year</t>
  </si>
  <si>
    <r>
      <t>3. If you are using d</t>
    </r>
    <r>
      <rPr>
        <b/>
        <sz val="11"/>
        <color theme="1"/>
        <rFont val="Calibri"/>
        <family val="2"/>
        <scheme val="minor"/>
      </rPr>
      <t>iesel with a portion of biodiesel</t>
    </r>
    <r>
      <rPr>
        <sz val="11"/>
        <color theme="1"/>
        <rFont val="Calibri"/>
        <family val="2"/>
        <scheme val="minor"/>
      </rPr>
      <t xml:space="preserve"> or renewable diesel, put those percentages in the next column.</t>
    </r>
  </si>
  <si>
    <t>GHG reporter name</t>
  </si>
  <si>
    <t>GHG reporter email</t>
  </si>
  <si>
    <t>GHG reporter phone number</t>
  </si>
  <si>
    <t>kBtu</t>
  </si>
  <si>
    <t>MMBtu/therm</t>
  </si>
  <si>
    <r>
      <rPr>
        <b/>
        <sz val="11"/>
        <color theme="1"/>
        <rFont val="Calibri"/>
        <family val="2"/>
        <scheme val="minor"/>
      </rPr>
      <t>Purchased</t>
    </r>
    <r>
      <rPr>
        <sz val="11"/>
        <color theme="1"/>
        <rFont val="Calibri"/>
        <family val="2"/>
        <scheme val="minor"/>
      </rPr>
      <t xml:space="preserve"> electricity from green contract (kWh)</t>
    </r>
  </si>
  <si>
    <t>Steam - Fossil Fuel</t>
  </si>
  <si>
    <t>Purchased electricity - WA avg mix</t>
  </si>
  <si>
    <t>Notes:</t>
  </si>
  <si>
    <t>After reports are submitted, share agency reports of DES SF with Ron to make sure we aren't double counting space</t>
  </si>
  <si>
    <t>DES Real Estate Services does not report SF or energy use for any agencies</t>
  </si>
  <si>
    <t>Renewable Electricity Production (Agency-owned or on-site)</t>
  </si>
  <si>
    <t>Stationary Fossil Fuel Combustion</t>
  </si>
  <si>
    <t>Stationary Renewable Thermal Energy</t>
  </si>
  <si>
    <r>
      <rPr>
        <b/>
        <sz val="12"/>
        <color theme="1"/>
        <rFont val="Calibri"/>
        <family val="2"/>
        <scheme val="minor"/>
      </rPr>
      <t xml:space="preserve">Conditioned Space Details </t>
    </r>
    <r>
      <rPr>
        <b/>
        <sz val="11"/>
        <color theme="1"/>
        <rFont val="Calibri"/>
        <family val="2"/>
        <scheme val="minor"/>
      </rPr>
      <t xml:space="preserve">- </t>
    </r>
    <r>
      <rPr>
        <sz val="11"/>
        <color theme="1"/>
        <rFont val="Calibri"/>
        <family val="2"/>
        <scheme val="minor"/>
      </rPr>
      <t>heated or cooled using electricity, natural gas, or other forms of energy</t>
    </r>
  </si>
  <si>
    <t>Purchased Electricity - Standard Utility Retail Electricity</t>
  </si>
  <si>
    <t>https://www.energy.gov/eere/geothermal/geothermal-heat-pumps</t>
  </si>
  <si>
    <t>Geothermal Heat Pumps:</t>
  </si>
  <si>
    <t>Fossil Fuel Consumption</t>
  </si>
  <si>
    <r>
      <t xml:space="preserve">Electricity Consumption - </t>
    </r>
    <r>
      <rPr>
        <sz val="11"/>
        <color theme="1"/>
        <rFont val="Calibri"/>
        <family val="2"/>
        <scheme val="minor"/>
      </rPr>
      <t>Report data for agency-owned space and privately leased space</t>
    </r>
  </si>
  <si>
    <t>Thermal Energy Consumption</t>
  </si>
  <si>
    <t>Renewable thermal space conditioning (examples: geothermal/ground source heat pumps, solar hot water, renewable gas such as biogas or landfill gas, or biomass. (kBtu, or specify other units)</t>
  </si>
  <si>
    <t>Purchased electricity - WA State Avg Retail Mix 3yr avg</t>
  </si>
  <si>
    <t xml:space="preserve">Fuel </t>
  </si>
  <si>
    <t>Source: EPA 40 C.F.R Part 98 as adopted in WAC 173-441 https://app.leg.wa.gov/WAC/default.aspx?cite=173-441</t>
  </si>
  <si>
    <t>eGRID NWPP 2019</t>
  </si>
  <si>
    <t>lb/MWh</t>
  </si>
  <si>
    <t>2019 lb/MWh</t>
  </si>
  <si>
    <t>2018 lb/MWh</t>
  </si>
  <si>
    <t>https://www.epa.gov/egrid/data-explorer</t>
  </si>
  <si>
    <t>lbs/MWh</t>
  </si>
  <si>
    <t xml:space="preserve"> kg/MWh</t>
  </si>
  <si>
    <t>average</t>
  </si>
  <si>
    <t>2020 Average Retail Price ($/kWh)</t>
  </si>
  <si>
    <r>
      <t>Electricity generated from solar photovoltaics, wind turbine, microhydro or other</t>
    </r>
    <r>
      <rPr>
        <sz val="11"/>
        <color rgb="FFFF0000"/>
        <rFont val="Calibri"/>
        <family val="2"/>
        <scheme val="minor"/>
      </rPr>
      <t xml:space="preserve"> renewable power sources</t>
    </r>
    <r>
      <rPr>
        <sz val="11"/>
        <color theme="1"/>
        <rFont val="Calibri"/>
        <family val="2"/>
        <scheme val="minor"/>
      </rPr>
      <t xml:space="preserve"> (kWh) See comment for definition.</t>
    </r>
  </si>
  <si>
    <t xml:space="preserve">Annual electricity purchases (kWh) </t>
  </si>
  <si>
    <r>
      <t xml:space="preserve">Section 4: Fossil GHG Emissions Summary - </t>
    </r>
    <r>
      <rPr>
        <b/>
        <sz val="12"/>
        <color theme="0"/>
        <rFont val="Calibri"/>
        <family val="2"/>
        <scheme val="minor"/>
      </rPr>
      <t>Excludes biogenic portion of biofuel combustion</t>
    </r>
  </si>
  <si>
    <t>Name of Agency Approver</t>
  </si>
  <si>
    <t>•   15% below 2005 baseline by 2020</t>
  </si>
  <si>
    <t>•   45% below 2005 by 2030</t>
  </si>
  <si>
    <t xml:space="preserve">•   95% below 2005 by 2050, achieve net zero </t>
  </si>
  <si>
    <t>Purchased steam (fossil fuel)</t>
  </si>
  <si>
    <t>Steam</t>
  </si>
  <si>
    <t>(kg CO2/mmBtu)</t>
  </si>
  <si>
    <t>(MT CO2/therm)</t>
  </si>
  <si>
    <r>
      <t>CH</t>
    </r>
    <r>
      <rPr>
        <b/>
        <vertAlign val="subscript"/>
        <sz val="12"/>
        <rFont val="Calibri"/>
        <family val="2"/>
        <scheme val="minor"/>
      </rPr>
      <t>4</t>
    </r>
    <r>
      <rPr>
        <b/>
        <sz val="12"/>
        <rFont val="Calibri"/>
        <family val="2"/>
        <scheme val="minor"/>
      </rPr>
      <t xml:space="preserve"> emission factor</t>
    </r>
  </si>
  <si>
    <t xml:space="preserve"> (MT CH4/therm)</t>
  </si>
  <si>
    <r>
      <t>N</t>
    </r>
    <r>
      <rPr>
        <b/>
        <vertAlign val="subscript"/>
        <sz val="12"/>
        <rFont val="Calibri"/>
        <family val="2"/>
        <scheme val="minor"/>
      </rPr>
      <t>2</t>
    </r>
    <r>
      <rPr>
        <b/>
        <sz val="12"/>
        <rFont val="Calibri"/>
        <family val="2"/>
        <scheme val="minor"/>
      </rPr>
      <t>O emissions factor</t>
    </r>
  </si>
  <si>
    <t xml:space="preserve"> (kg N2O/mmBtu)</t>
  </si>
  <si>
    <t>(MT N2O/therm)</t>
  </si>
  <si>
    <t xml:space="preserve">High heat value </t>
  </si>
  <si>
    <t>(MT CO2/klb)</t>
  </si>
  <si>
    <t>(MT CH4/klb)</t>
  </si>
  <si>
    <t>(MT N2O/klb)</t>
  </si>
  <si>
    <t>WA state avg commercial price</t>
  </si>
  <si>
    <t>$/1000 CF</t>
  </si>
  <si>
    <t>Fuel Prices</t>
  </si>
  <si>
    <t xml:space="preserve">Gasoline </t>
  </si>
  <si>
    <t xml:space="preserve">Aviation Gasoline </t>
  </si>
  <si>
    <t xml:space="preserve">Fuel Oil </t>
  </si>
  <si>
    <t>Jet Fuel</t>
  </si>
  <si>
    <t>https://www.eia.gov/dnav/ng/ng_pri_sum_dcu_SWA_a.htm</t>
  </si>
  <si>
    <t>https://gasprices.aaa.com/?state=WA</t>
  </si>
  <si>
    <t>https://www.eia.gov/petroleum/gasdiesel/</t>
  </si>
  <si>
    <t>https://www.eia.gov/petroleum/heatingoilpropane/</t>
  </si>
  <si>
    <t>https://www.eia.gov/dnav/pet/hist/LeafHandler.ashx?n=PET&amp;s=EMA_EPJK_PWG_NUS_DPG&amp;f=M</t>
  </si>
  <si>
    <t>https://www.eia.gov/dnav/pet/pet_pri_refoth_a_EPPV_PTG_dpgal_m.htm</t>
  </si>
  <si>
    <t>Prices as of 12/2021</t>
  </si>
  <si>
    <t>Purchased Steam (Million lbs - Mlbs) (enter your own value)</t>
  </si>
  <si>
    <t>Baseline annual emissions (before)</t>
  </si>
  <si>
    <t>New annual emissions level after project (after)</t>
  </si>
  <si>
    <t>Emissions avoided (cumulative)</t>
  </si>
  <si>
    <t>Gasoline (gallons per year)</t>
  </si>
  <si>
    <t>Diesel (gallons per year)</t>
  </si>
  <si>
    <t>Electricity (kWh per year)</t>
  </si>
  <si>
    <t>Natural Gas (Therms per year)</t>
  </si>
  <si>
    <t>Aviation Gasoline (gallons per year)</t>
  </si>
  <si>
    <t>Fuel Oil (Gallons per year)</t>
  </si>
  <si>
    <t>Jet Fuel (gallons per year)</t>
  </si>
  <si>
    <t>Propane (Gallons per year)</t>
  </si>
  <si>
    <t>Purchased Steam (Million lbs - Mlbs per year)</t>
  </si>
  <si>
    <t>Annual Emissions Before</t>
  </si>
  <si>
    <t>Annual Emissions After</t>
  </si>
  <si>
    <t>&lt;&lt;&lt; MTCO2e saved each year</t>
  </si>
  <si>
    <t>&lt;&lt;&lt; $ saved each year</t>
  </si>
  <si>
    <t>&lt;&lt;&lt; $ saved over 10 years</t>
  </si>
  <si>
    <t>&lt;&lt;&lt; MTCO2e saved (avoided) over 10 years</t>
  </si>
  <si>
    <t>$ Savings</t>
  </si>
  <si>
    <t>Baseline cost (before)</t>
  </si>
  <si>
    <t>New annual cost after project (after)</t>
  </si>
  <si>
    <t xml:space="preserve"> Annual CO2e Savings (avoided)</t>
  </si>
  <si>
    <t>Annual Cost Before ($/yr)</t>
  </si>
  <si>
    <t>Annual Cost After ($/yr)</t>
  </si>
  <si>
    <t xml:space="preserve"> Annual $ Savings (avoided)($/yr)</t>
  </si>
  <si>
    <r>
      <t xml:space="preserve">1. Enter the </t>
    </r>
    <r>
      <rPr>
        <b/>
        <sz val="11"/>
        <color theme="1"/>
        <rFont val="Calibri"/>
        <family val="2"/>
        <scheme val="minor"/>
      </rPr>
      <t>current annual quantity of fuel</t>
    </r>
    <r>
      <rPr>
        <sz val="11"/>
        <color theme="1"/>
        <rFont val="Calibri"/>
        <family val="2"/>
        <scheme val="minor"/>
      </rPr>
      <t xml:space="preserve"> used in the </t>
    </r>
    <r>
      <rPr>
        <sz val="11"/>
        <color theme="5" tint="-0.249977111117893"/>
        <rFont val="Calibri"/>
        <family val="2"/>
        <scheme val="minor"/>
      </rPr>
      <t>orange</t>
    </r>
    <r>
      <rPr>
        <sz val="11"/>
        <color theme="1"/>
        <rFont val="Calibri"/>
        <family val="2"/>
        <scheme val="minor"/>
      </rPr>
      <t xml:space="preserve"> cells in the </t>
    </r>
    <r>
      <rPr>
        <b/>
        <sz val="11"/>
        <color theme="1"/>
        <rFont val="Calibri"/>
        <family val="2"/>
        <scheme val="minor"/>
      </rPr>
      <t>before</t>
    </r>
    <r>
      <rPr>
        <sz val="11"/>
        <color theme="1"/>
        <rFont val="Calibri"/>
        <family val="2"/>
        <scheme val="minor"/>
      </rPr>
      <t xml:space="preserve"> column.</t>
    </r>
  </si>
  <si>
    <r>
      <t>2. Enter the f</t>
    </r>
    <r>
      <rPr>
        <b/>
        <sz val="11"/>
        <color theme="1"/>
        <rFont val="Calibri"/>
        <family val="2"/>
        <scheme val="minor"/>
      </rPr>
      <t>uture quantity of fuel</t>
    </r>
    <r>
      <rPr>
        <sz val="11"/>
        <color theme="1"/>
        <rFont val="Calibri"/>
        <family val="2"/>
        <scheme val="minor"/>
      </rPr>
      <t xml:space="preserve"> to be used (after project completion) in the </t>
    </r>
    <r>
      <rPr>
        <sz val="11"/>
        <color theme="5" tint="-0.249977111117893"/>
        <rFont val="Calibri"/>
        <family val="2"/>
        <scheme val="minor"/>
      </rPr>
      <t>orange</t>
    </r>
    <r>
      <rPr>
        <sz val="11"/>
        <color theme="1"/>
        <rFont val="Calibri"/>
        <family val="2"/>
        <scheme val="minor"/>
      </rPr>
      <t xml:space="preserve"> cells in the </t>
    </r>
    <r>
      <rPr>
        <b/>
        <sz val="11"/>
        <color theme="1"/>
        <rFont val="Calibri"/>
        <family val="2"/>
        <scheme val="minor"/>
      </rPr>
      <t>after</t>
    </r>
    <r>
      <rPr>
        <sz val="11"/>
        <color theme="1"/>
        <rFont val="Calibri"/>
        <family val="2"/>
        <scheme val="minor"/>
      </rPr>
      <t xml:space="preserve"> column. </t>
    </r>
  </si>
  <si>
    <t xml:space="preserve">4. For multiple projects, copy this tab as often as needed. </t>
  </si>
  <si>
    <t>CAUTION: This sheet is not protected so you can change it as needed. New copies can be found at Ecology's website.</t>
  </si>
  <si>
    <t xml:space="preserve">Electricity price  </t>
  </si>
  <si>
    <t>Natural Gas price</t>
  </si>
  <si>
    <t>Other Fuel Prices</t>
  </si>
  <si>
    <t>Aviation Gasoline</t>
  </si>
  <si>
    <t>Fuel Oil</t>
  </si>
  <si>
    <t xml:space="preserve">Propane </t>
  </si>
  <si>
    <t>Emission and Cost Reduction Estimates (Optional)</t>
  </si>
  <si>
    <t>How to Use this Calculator</t>
  </si>
  <si>
    <t>Current Annual Fuel Use (Before)</t>
  </si>
  <si>
    <t>Future Annual Fuel Use (After)</t>
  </si>
  <si>
    <t>Agency Energy Use Indicator (EUI)</t>
  </si>
  <si>
    <t>TOTAL Building BTU</t>
  </si>
  <si>
    <t>EUI Calculation</t>
  </si>
  <si>
    <t>BTU/SF</t>
  </si>
  <si>
    <t>Specify renewable resources here (solar PV, wind, etc.) If kwh production data is not available, please report system design size and/or projected energy reductions here. &gt;&gt;&gt;</t>
  </si>
  <si>
    <t xml:space="preserve">Specify renewable resources here (geothermal, biomass, solar thermal, Etc.) If kBtu production data is not available, please report system design size and/or projected energy reductions here. &gt;&gt;&gt; </t>
  </si>
  <si>
    <r>
      <t>MT CO</t>
    </r>
    <r>
      <rPr>
        <b/>
        <vertAlign val="subscript"/>
        <sz val="14"/>
        <color theme="1"/>
        <rFont val="Calibri"/>
        <family val="2"/>
        <scheme val="minor"/>
      </rPr>
      <t>2</t>
    </r>
    <r>
      <rPr>
        <b/>
        <sz val="14"/>
        <color theme="1"/>
        <rFont val="Calibri"/>
        <family val="2"/>
        <scheme val="minor"/>
      </rPr>
      <t>e</t>
    </r>
  </si>
  <si>
    <r>
      <t>Electricity generated from solar photovoltaics, wind turbine, microhydro or other</t>
    </r>
    <r>
      <rPr>
        <sz val="11"/>
        <color rgb="FFFF0000"/>
        <rFont val="Calibri"/>
        <family val="2"/>
        <scheme val="minor"/>
      </rPr>
      <t xml:space="preserve"> </t>
    </r>
    <r>
      <rPr>
        <sz val="11"/>
        <color theme="1"/>
        <rFont val="Calibri"/>
        <family val="2"/>
        <scheme val="minor"/>
      </rPr>
      <t>renewable power sources (kWh) See comment for definition.</t>
    </r>
  </si>
  <si>
    <t>kBtu/kWh</t>
  </si>
  <si>
    <t>NOTE REGARDING ELECTRICITY EMISSIONS FORECAST:</t>
  </si>
  <si>
    <r>
      <t xml:space="preserve">If your agency consumes fuel for landscape equipment, off-road vehicles, construction vehicles and equipment, agricultural or other uses not reported elsewhere, </t>
    </r>
    <r>
      <rPr>
        <b/>
        <sz val="11"/>
        <color theme="1"/>
        <rFont val="Calibri"/>
        <family val="2"/>
        <scheme val="minor"/>
      </rPr>
      <t xml:space="preserve">provide </t>
    </r>
    <r>
      <rPr>
        <b/>
        <u/>
        <sz val="11"/>
        <color theme="1"/>
        <rFont val="Calibri"/>
        <family val="2"/>
        <scheme val="minor"/>
      </rPr>
      <t>fuel quantities</t>
    </r>
    <r>
      <rPr>
        <b/>
        <sz val="11"/>
        <color theme="1"/>
        <rFont val="Calibri"/>
        <family val="2"/>
        <scheme val="minor"/>
      </rPr>
      <t xml:space="preserve"> and </t>
    </r>
    <r>
      <rPr>
        <b/>
        <u/>
        <sz val="11"/>
        <color theme="1"/>
        <rFont val="Calibri"/>
        <family val="2"/>
        <scheme val="minor"/>
      </rPr>
      <t>fuel type</t>
    </r>
    <r>
      <rPr>
        <b/>
        <sz val="11"/>
        <color theme="1"/>
        <rFont val="Calibri"/>
        <family val="2"/>
        <scheme val="minor"/>
      </rPr>
      <t xml:space="preserve"> for </t>
    </r>
    <r>
      <rPr>
        <b/>
        <u/>
        <sz val="11"/>
        <color theme="1"/>
        <rFont val="Calibri"/>
        <family val="2"/>
        <scheme val="minor"/>
      </rPr>
      <t>each vehicle/equipment category</t>
    </r>
    <r>
      <rPr>
        <b/>
        <sz val="11"/>
        <color theme="1"/>
        <rFont val="Calibri"/>
        <family val="2"/>
        <scheme val="minor"/>
      </rPr>
      <t xml:space="preserve"> in the comment box below</t>
    </r>
    <r>
      <rPr>
        <sz val="11"/>
        <color theme="1"/>
        <rFont val="Calibri"/>
        <family val="2"/>
        <scheme val="minor"/>
      </rPr>
      <t>. Note this data will not be included in agency-level reports but may be aggregated for a statewide estimate.</t>
    </r>
  </si>
  <si>
    <r>
      <t>As agencies plan future emission reduction projects, keep in mind that the electricity grid is moving toward carbon neutrality by 2030, making all-electric buildings and vehicles zero GHG emissions. The transformation away from fossil fuels requires that all energy be used as efficiently as possible and remaining energy use come from clean electricity and renewable fuels. This simple calculator</t>
    </r>
    <r>
      <rPr>
        <b/>
        <sz val="11"/>
        <color theme="1"/>
        <rFont val="Calibri"/>
        <family val="2"/>
        <scheme val="minor"/>
      </rPr>
      <t xml:space="preserve"> does not include a projection of declining future emissions from electricity</t>
    </r>
    <r>
      <rPr>
        <sz val="11"/>
        <color theme="1"/>
        <rFont val="Calibri"/>
        <family val="2"/>
        <scheme val="minor"/>
      </rPr>
      <t xml:space="preserve"> - it holds current emission levels steady into the future.  </t>
    </r>
  </si>
  <si>
    <t>This calculator is used to determine your agency's annual GHG emissions from building energy use and fleet energy use (vehicles and mobile equipment). The information is gathered annually from state agencies and reported biennially to legislature, the next report is due Dec. 2022.</t>
  </si>
  <si>
    <t>This emissions report is due to Dept of Ecology by May 20th, 2022</t>
  </si>
  <si>
    <t>https://des.wa.gov/services/facilities-leasing/energy-program/resource-conservation-management-program</t>
  </si>
  <si>
    <t>Resources for state buildings can be found here:</t>
  </si>
  <si>
    <t>All the cells are protected except the yellow cells.</t>
  </si>
  <si>
    <t>Enter information about stationary fuel sources (including natural gas, fuel oil and other fuels) and purchased electricity and steam into yellow cells.  Include all electricity purchased, including electricity purchased from 'green' contracts.  Data should align with Energy Star Portfolio Manager.</t>
  </si>
  <si>
    <t>Additional description of facilities: &gt;&gt;&gt;</t>
  </si>
  <si>
    <t xml:space="preserve">Enter information about fleet(s) and mobile equipment owned by the agency or leased from the state motor pool into yellow cells. </t>
  </si>
  <si>
    <t xml:space="preserve">*Modify if you know the actual % biofuel for your agency.  </t>
  </si>
  <si>
    <t>Building Energy Use Emissions Details</t>
  </si>
  <si>
    <t>Fleet Energy Use Emissions Details</t>
  </si>
  <si>
    <t xml:space="preserve">Projected Emissions </t>
  </si>
  <si>
    <t>Projected Cost Savings</t>
  </si>
  <si>
    <t>Estimate Emission Reductions</t>
  </si>
  <si>
    <t>Average utility costs are pre-populated. You may replace it with your own utility data.</t>
  </si>
  <si>
    <t>Enter the year project will be installed &gt;&gt;&gt;</t>
  </si>
  <si>
    <t>Cost avoided (cumulative savings)</t>
  </si>
  <si>
    <t>Avg passenger vehicle driven for 1 year</t>
  </si>
  <si>
    <t>MTCO2e</t>
  </si>
  <si>
    <t>MTCO2</t>
  </si>
  <si>
    <t>passenger vehicles driven for one year</t>
  </si>
  <si>
    <t>acres of U.S. forest sequestration in one year</t>
  </si>
  <si>
    <t>https://ecology.wa.gov/Air-Climate/Climate-change/Tracking-greenhouse-gases/Greenhouse-gas-reporting/State-agency-greenhouse-gas-reports</t>
  </si>
  <si>
    <r>
      <t xml:space="preserve">The "Emission Reduction Estimates" tab of this spreadsheet is a simple tool for roughly estimating GHG and cost savings from mitigation projects. This tab is available for your agency's internal use and is </t>
    </r>
    <r>
      <rPr>
        <u/>
        <sz val="12"/>
        <color theme="1"/>
        <rFont val="Calibri"/>
        <family val="2"/>
        <scheme val="minor"/>
      </rPr>
      <t>not required for reporting.</t>
    </r>
  </si>
  <si>
    <t>•   Report GHG Emission Reduction Strategy to Dept of Commerce State Efficiency and Environmental Performance (SEEP). On even years, complete and submit the Emission Reduction Strategy Template, located on the SEEP website here:</t>
  </si>
  <si>
    <t>The requirements for state agencies include the following reports:</t>
  </si>
  <si>
    <t xml:space="preserve">•   Report estimated greenhouse gas emissions from agency operations annually by May 20th to Dept. of Ecology by completing and submitting this calculator. </t>
  </si>
  <si>
    <t>stacey.waterman-hoey@ecy.wa.gov | 360-764-6187(c)</t>
  </si>
  <si>
    <t>Emission Equivalencies</t>
  </si>
  <si>
    <t>Your project reduced the equivalent amount as:</t>
  </si>
  <si>
    <r>
      <t>This tab provides a variety of simple tools for quickly estimating GHG reduction and cost savings for mitigation projects.</t>
    </r>
    <r>
      <rPr>
        <b/>
        <sz val="11"/>
        <rFont val="Calibri"/>
        <family val="2"/>
        <scheme val="minor"/>
      </rPr>
      <t xml:space="preserve"> This tab is available for your agency's internal use and is not required for reporting.</t>
    </r>
  </si>
  <si>
    <t>•   75% below 2005 by 2040</t>
  </si>
  <si>
    <t xml:space="preserve">•    Enter data in yellow fields in the "Report" tab. </t>
  </si>
  <si>
    <r>
      <t xml:space="preserve">•    Once you have entered your agency's information into the calculator, save your spreadsheet using this naming convention: [2021]_[agency acronym_GHG.xlsx] </t>
    </r>
    <r>
      <rPr>
        <i/>
        <sz val="12"/>
        <color theme="1"/>
        <rFont val="Calibri"/>
        <family val="2"/>
        <scheme val="minor"/>
      </rPr>
      <t xml:space="preserve">(example: 2021_ECY_GHG.xlsx) </t>
    </r>
  </si>
  <si>
    <t>•    See complete instructions at Ecology's website for State Agency GHG Reporting here:</t>
  </si>
  <si>
    <t>Additional resources for state buildings can be found here:</t>
  </si>
  <si>
    <t>Detailed upload instructions are at the link above. Quick link to SAGE portal here:</t>
  </si>
  <si>
    <t>http://ecyapaq/aqportal/SAGE/Default.aspx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</si>
</sst>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4" formatCode="_(&quot;$&quot;* #,##0.00_);_(&quot;$&quot;* \(#,##0.00\);_(&quot;$&quot;* &quot;-&quot;??_);_(@_)"/>
    <numFmt numFmtId="43" formatCode="_(* #,##0.00_);_(* \(#,##0.00\);_(* &quot;-&quot;??_);_(@_)"/>
    <numFmt numFmtId="164" formatCode="0.00000"/>
    <numFmt numFmtId="165" formatCode="0.0000"/>
    <numFmt numFmtId="166" formatCode="0.000"/>
    <numFmt numFmtId="167" formatCode="0.000000"/>
    <numFmt numFmtId="168" formatCode="#,##0.0"/>
    <numFmt numFmtId="169" formatCode="_(* #,##0.0_);_(* \(#,##0.0\);_(* &quot;-&quot;??_);_(@_)"/>
    <numFmt numFmtId="170" formatCode="_(* #,##0_);_(* \(#,##0\);_(* &quot;-&quot;??_);_(@_)"/>
    <numFmt numFmtId="171" formatCode="_(* #,##0.000_);_(* \(#,##0.000\);_(* &quot;-&quot;??_);_(@_)"/>
    <numFmt numFmtId="172" formatCode="0.0"/>
    <numFmt numFmtId="173" formatCode="0.00000000"/>
    <numFmt numFmtId="174" formatCode="_(&quot;$&quot;* #,##0.000_);_(&quot;$&quot;* \(#,##0.000\);_(&quot;$&quot;* &quot;-&quot;??_);_(@_)"/>
    <numFmt numFmtId="175" formatCode="_(&quot;$&quot;* #,##0_);_(&quot;$&quot;* \(#,##0\);_(&quot;$&quot;* &quot;-&quot;??_);_(@_)"/>
  </numFmts>
  <fonts count="4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Times New Roman"/>
      <family val="1"/>
    </font>
    <font>
      <u/>
      <sz val="11"/>
      <color theme="10"/>
      <name val="Calibri"/>
      <family val="2"/>
    </font>
    <font>
      <b/>
      <sz val="9"/>
      <color indexed="81"/>
      <name val="Tahoma"/>
      <family val="2"/>
    </font>
    <font>
      <sz val="9"/>
      <color indexed="81"/>
      <name val="Tahoma"/>
      <family val="2"/>
    </font>
    <font>
      <sz val="10"/>
      <color rgb="FF000000"/>
      <name val="Arial"/>
      <family val="2"/>
    </font>
    <font>
      <b/>
      <sz val="9"/>
      <color rgb="FF000000"/>
      <name val="Tahoma"/>
      <family val="2"/>
    </font>
    <font>
      <sz val="9"/>
      <color rgb="FF000000"/>
      <name val="Tahoma"/>
      <family val="2"/>
    </font>
    <font>
      <sz val="12"/>
      <color theme="1"/>
      <name val="Calibri"/>
      <family val="2"/>
      <scheme val="minor"/>
    </font>
    <font>
      <sz val="12"/>
      <color rgb="FFFF0000"/>
      <name val="Calibri"/>
      <family val="2"/>
      <scheme val="minor"/>
    </font>
    <font>
      <u/>
      <sz val="12"/>
      <color theme="10"/>
      <name val="Calibri"/>
      <family val="2"/>
    </font>
    <font>
      <b/>
      <sz val="12"/>
      <color theme="1"/>
      <name val="Calibri"/>
      <family val="2"/>
      <scheme val="minor"/>
    </font>
    <font>
      <b/>
      <sz val="18"/>
      <color theme="1"/>
      <name val="Calibri"/>
      <family val="2"/>
      <scheme val="minor"/>
    </font>
    <font>
      <b/>
      <sz val="11"/>
      <color rgb="FF000000"/>
      <name val="Calibri"/>
      <family val="2"/>
      <scheme val="minor"/>
    </font>
    <font>
      <sz val="11"/>
      <color rgb="FF000000"/>
      <name val="Calibri"/>
      <family val="2"/>
      <scheme val="minor"/>
    </font>
    <font>
      <b/>
      <sz val="12"/>
      <color rgb="FF000000"/>
      <name val="Calibri"/>
      <family val="2"/>
      <scheme val="minor"/>
    </font>
    <font>
      <sz val="12"/>
      <color rgb="FF000000"/>
      <name val="Calibri"/>
      <family val="2"/>
      <scheme val="minor"/>
    </font>
    <font>
      <sz val="9"/>
      <color rgb="FF000000"/>
      <name val="Calibri"/>
      <family val="2"/>
      <scheme val="minor"/>
    </font>
    <font>
      <b/>
      <sz val="12"/>
      <name val="Calibri"/>
      <family val="2"/>
      <scheme val="minor"/>
    </font>
    <font>
      <b/>
      <vertAlign val="subscript"/>
      <sz val="12"/>
      <name val="Calibri"/>
      <family val="2"/>
      <scheme val="minor"/>
    </font>
    <font>
      <sz val="12"/>
      <name val="Calibri"/>
      <family val="2"/>
      <scheme val="minor"/>
    </font>
    <font>
      <b/>
      <vertAlign val="subscript"/>
      <sz val="12"/>
      <color rgb="FF000000"/>
      <name val="Calibri"/>
      <family val="2"/>
      <scheme val="minor"/>
    </font>
    <font>
      <vertAlign val="subscript"/>
      <sz val="12"/>
      <color rgb="FF000000"/>
      <name val="Calibri"/>
      <family val="2"/>
      <scheme val="minor"/>
    </font>
    <font>
      <sz val="9"/>
      <name val="Calibri"/>
      <family val="2"/>
      <scheme val="minor"/>
    </font>
    <font>
      <b/>
      <sz val="11"/>
      <name val="Calibri"/>
      <family val="2"/>
      <scheme val="minor"/>
    </font>
    <font>
      <sz val="11"/>
      <name val="Calibri"/>
      <family val="2"/>
      <scheme val="minor"/>
    </font>
    <font>
      <b/>
      <sz val="14"/>
      <color theme="1"/>
      <name val="Calibri"/>
      <family val="2"/>
      <scheme val="minor"/>
    </font>
    <font>
      <b/>
      <sz val="16"/>
      <color theme="1"/>
      <name val="Calibri"/>
      <family val="2"/>
      <scheme val="minor"/>
    </font>
    <font>
      <b/>
      <vertAlign val="subscript"/>
      <sz val="11"/>
      <color theme="1"/>
      <name val="Calibri"/>
      <family val="2"/>
      <scheme val="minor"/>
    </font>
    <font>
      <b/>
      <sz val="18"/>
      <name val="Calibri"/>
      <family val="2"/>
      <scheme val="minor"/>
    </font>
    <font>
      <b/>
      <sz val="14"/>
      <color rgb="FF000000"/>
      <name val="Calibri"/>
      <family val="2"/>
      <scheme val="minor"/>
    </font>
    <font>
      <b/>
      <sz val="16"/>
      <color rgb="FF000000"/>
      <name val="Calibri"/>
      <family val="2"/>
      <scheme val="minor"/>
    </font>
    <font>
      <b/>
      <i/>
      <sz val="11"/>
      <color theme="1"/>
      <name val="Calibri"/>
      <family val="2"/>
      <scheme val="minor"/>
    </font>
    <font>
      <b/>
      <sz val="16"/>
      <color rgb="FFFF0000"/>
      <name val="Calibri"/>
      <family val="2"/>
      <scheme val="minor"/>
    </font>
    <font>
      <sz val="11"/>
      <color theme="5" tint="-0.249977111117893"/>
      <name val="Calibri"/>
      <family val="2"/>
      <scheme val="minor"/>
    </font>
    <font>
      <sz val="9"/>
      <color theme="1"/>
      <name val="Calibri"/>
      <family val="2"/>
      <scheme val="minor"/>
    </font>
    <font>
      <b/>
      <u/>
      <sz val="11"/>
      <color theme="1"/>
      <name val="Calibri"/>
      <family val="2"/>
      <scheme val="minor"/>
    </font>
    <font>
      <b/>
      <sz val="11"/>
      <color rgb="FFFF0000"/>
      <name val="Calibri"/>
      <family val="2"/>
      <scheme val="minor"/>
    </font>
    <font>
      <b/>
      <sz val="16"/>
      <color theme="0"/>
      <name val="Calibri"/>
      <family val="2"/>
      <scheme val="minor"/>
    </font>
    <font>
      <b/>
      <sz val="12"/>
      <color theme="0"/>
      <name val="Calibri"/>
      <family val="2"/>
      <scheme val="minor"/>
    </font>
    <font>
      <b/>
      <sz val="14"/>
      <name val="Calibri"/>
      <family val="2"/>
      <scheme val="minor"/>
    </font>
    <font>
      <sz val="18"/>
      <color theme="1"/>
      <name val="Calibri"/>
      <family val="2"/>
      <scheme val="minor"/>
    </font>
    <font>
      <b/>
      <vertAlign val="subscript"/>
      <sz val="14"/>
      <color theme="1"/>
      <name val="Calibri"/>
      <family val="2"/>
      <scheme val="minor"/>
    </font>
    <font>
      <u/>
      <sz val="12"/>
      <color theme="1"/>
      <name val="Calibri"/>
      <family val="2"/>
      <scheme val="minor"/>
    </font>
    <font>
      <i/>
      <sz val="12"/>
      <color theme="1"/>
      <name val="Calibri"/>
      <family val="2"/>
      <scheme val="minor"/>
    </font>
  </fonts>
  <fills count="23">
    <fill>
      <patternFill patternType="none"/>
    </fill>
    <fill>
      <patternFill patternType="gray125"/>
    </fill>
    <fill>
      <patternFill patternType="solid">
        <fgColor theme="4"/>
        <bgColor indexed="64"/>
      </patternFill>
    </fill>
    <fill>
      <patternFill patternType="solid">
        <fgColor rgb="FFFFFF0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2" tint="-0.249977111117893"/>
        <bgColor indexed="64"/>
      </patternFill>
    </fill>
    <fill>
      <patternFill patternType="solid">
        <fgColor rgb="FFFCD5B4"/>
        <bgColor rgb="FF000000"/>
      </patternFill>
    </fill>
    <fill>
      <patternFill patternType="solid">
        <fgColor rgb="FFFFFFCC"/>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rgb="FFFFFFF3"/>
        <bgColor indexed="64"/>
      </patternFill>
    </fill>
    <fill>
      <patternFill patternType="solid">
        <fgColor theme="9" tint="0.39997558519241921"/>
        <bgColor indexed="64"/>
      </patternFill>
    </fill>
    <fill>
      <patternFill patternType="solid">
        <fgColor theme="4" tint="0.79998168889431442"/>
        <bgColor rgb="FF000000"/>
      </patternFill>
    </fill>
    <fill>
      <patternFill patternType="solid">
        <fgColor theme="0" tint="-4.9989318521683403E-2"/>
        <bgColor rgb="FF000000"/>
      </patternFill>
    </fill>
    <fill>
      <patternFill patternType="solid">
        <fgColor theme="5" tint="0.39997558519241921"/>
        <bgColor rgb="FF000000"/>
      </patternFill>
    </fill>
    <fill>
      <patternFill patternType="solid">
        <fgColor theme="5" tint="0.39997558519241921"/>
        <bgColor indexed="64"/>
      </patternFill>
    </fill>
    <fill>
      <patternFill patternType="solid">
        <fgColor theme="9" tint="0.59999389629810485"/>
        <bgColor rgb="FF000000"/>
      </patternFill>
    </fill>
    <fill>
      <patternFill patternType="solid">
        <fgColor theme="9" tint="0.39997558519241921"/>
        <bgColor rgb="FF000000"/>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5" tint="0.79998168889431442"/>
        <bgColor rgb="FF000000"/>
      </patternFill>
    </fill>
    <fill>
      <patternFill patternType="solid">
        <fgColor theme="9"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alignment vertical="top"/>
      <protection locked="0"/>
    </xf>
    <xf numFmtId="0" fontId="8" fillId="0" borderId="0"/>
    <xf numFmtId="44" fontId="1" fillId="0" borderId="0" applyFont="0" applyFill="0" applyBorder="0" applyAlignment="0" applyProtection="0"/>
  </cellStyleXfs>
  <cellXfs count="283">
    <xf numFmtId="0" fontId="0" fillId="0" borderId="0" xfId="0"/>
    <xf numFmtId="0" fontId="3" fillId="0" borderId="0" xfId="0" applyFont="1"/>
    <xf numFmtId="0" fontId="0" fillId="0" borderId="0" xfId="0" applyFont="1"/>
    <xf numFmtId="0" fontId="11" fillId="0" borderId="0" xfId="0" applyFont="1"/>
    <xf numFmtId="0" fontId="11" fillId="0" borderId="0" xfId="0" applyFont="1" applyAlignment="1">
      <alignment wrapText="1"/>
    </xf>
    <xf numFmtId="0" fontId="11" fillId="9" borderId="0" xfId="0" applyFont="1" applyFill="1" applyAlignment="1">
      <alignment wrapText="1"/>
    </xf>
    <xf numFmtId="3" fontId="17" fillId="0" borderId="0" xfId="0" applyNumberFormat="1" applyFont="1" applyFill="1" applyBorder="1"/>
    <xf numFmtId="0" fontId="17" fillId="0" borderId="0" xfId="0" applyFont="1" applyFill="1" applyBorder="1"/>
    <xf numFmtId="3" fontId="17" fillId="0" borderId="0" xfId="0" applyNumberFormat="1" applyFont="1" applyFill="1" applyBorder="1" applyAlignment="1">
      <alignment horizontal="center"/>
    </xf>
    <xf numFmtId="0" fontId="20" fillId="0" borderId="0" xfId="0" applyFont="1" applyFill="1" applyBorder="1"/>
    <xf numFmtId="0" fontId="19" fillId="0" borderId="0" xfId="0" applyFont="1" applyFill="1" applyBorder="1"/>
    <xf numFmtId="0" fontId="19" fillId="0" borderId="0" xfId="2" applyNumberFormat="1" applyFont="1" applyFill="1" applyBorder="1"/>
    <xf numFmtId="10" fontId="19" fillId="0" borderId="0" xfId="2" applyNumberFormat="1" applyFont="1" applyFill="1" applyBorder="1"/>
    <xf numFmtId="0" fontId="26" fillId="0" borderId="0" xfId="0" applyFont="1" applyFill="1" applyBorder="1"/>
    <xf numFmtId="0" fontId="19" fillId="0" borderId="0" xfId="4" applyFont="1" applyFill="1" applyBorder="1" applyAlignment="1">
      <alignment wrapText="1"/>
    </xf>
    <xf numFmtId="4" fontId="18" fillId="0" borderId="0" xfId="0" applyNumberFormat="1" applyFont="1" applyFill="1" applyBorder="1"/>
    <xf numFmtId="0" fontId="19" fillId="0" borderId="0" xfId="0" applyFont="1" applyFill="1" applyBorder="1" applyAlignment="1">
      <alignment wrapText="1"/>
    </xf>
    <xf numFmtId="0" fontId="0" fillId="4" borderId="0" xfId="0" applyFill="1"/>
    <xf numFmtId="0" fontId="4" fillId="2" borderId="0" xfId="0" applyFont="1" applyFill="1" applyBorder="1" applyAlignment="1" applyProtection="1">
      <alignment horizontal="left"/>
    </xf>
    <xf numFmtId="0" fontId="27" fillId="2" borderId="0" xfId="0" applyFont="1" applyFill="1" applyBorder="1" applyAlignment="1" applyProtection="1">
      <alignment horizontal="left"/>
    </xf>
    <xf numFmtId="0" fontId="28" fillId="4" borderId="0" xfId="0" applyFont="1" applyFill="1" applyBorder="1" applyAlignment="1" applyProtection="1">
      <alignment vertical="top" wrapText="1"/>
    </xf>
    <xf numFmtId="0" fontId="0" fillId="0" borderId="0" xfId="0" applyFont="1" applyProtection="1"/>
    <xf numFmtId="0" fontId="0" fillId="2" borderId="0" xfId="0" applyFont="1" applyFill="1" applyBorder="1" applyProtection="1"/>
    <xf numFmtId="0" fontId="27" fillId="4" borderId="0" xfId="0" applyFont="1" applyFill="1" applyBorder="1" applyAlignment="1" applyProtection="1">
      <alignment horizontal="left"/>
    </xf>
    <xf numFmtId="0" fontId="3" fillId="0" borderId="0" xfId="0" applyFont="1" applyFill="1" applyBorder="1" applyAlignment="1" applyProtection="1">
      <alignment horizontal="left" indent="2"/>
    </xf>
    <xf numFmtId="0" fontId="0" fillId="0" borderId="0" xfId="0" applyFont="1" applyFill="1" applyBorder="1" applyAlignment="1" applyProtection="1">
      <alignment horizontal="left" indent="5"/>
    </xf>
    <xf numFmtId="0" fontId="3" fillId="0" borderId="0" xfId="0" applyFont="1" applyFill="1" applyBorder="1" applyProtection="1"/>
    <xf numFmtId="0" fontId="3" fillId="0" borderId="0" xfId="0" applyFont="1" applyFill="1" applyBorder="1" applyAlignment="1" applyProtection="1">
      <alignment horizontal="center" vertical="center" wrapText="1"/>
    </xf>
    <xf numFmtId="0" fontId="14" fillId="4" borderId="0" xfId="0" applyFont="1" applyFill="1" applyAlignment="1">
      <alignment wrapText="1"/>
    </xf>
    <xf numFmtId="0" fontId="11" fillId="4" borderId="0" xfId="0" applyFont="1" applyFill="1" applyAlignment="1">
      <alignment wrapText="1"/>
    </xf>
    <xf numFmtId="0" fontId="11" fillId="4" borderId="0" xfId="0" applyFont="1" applyFill="1" applyAlignment="1">
      <alignment horizontal="left" wrapText="1" indent="3"/>
    </xf>
    <xf numFmtId="0" fontId="5" fillId="4" borderId="0" xfId="3" applyFill="1" applyAlignment="1" applyProtection="1">
      <alignment horizontal="left" wrapText="1" indent="5"/>
    </xf>
    <xf numFmtId="0" fontId="15" fillId="12" borderId="0" xfId="0" applyFont="1" applyFill="1" applyAlignment="1">
      <alignment horizontal="center"/>
    </xf>
    <xf numFmtId="0" fontId="11" fillId="9" borderId="0" xfId="0" applyFont="1" applyFill="1"/>
    <xf numFmtId="0" fontId="11" fillId="9" borderId="0" xfId="0" applyFont="1" applyFill="1" applyAlignment="1">
      <alignment horizontal="left" vertical="center" indent="8"/>
    </xf>
    <xf numFmtId="0" fontId="12" fillId="0" borderId="0" xfId="4" applyFont="1" applyFill="1" applyBorder="1" applyAlignment="1">
      <alignment horizontal="left"/>
    </xf>
    <xf numFmtId="0" fontId="21" fillId="14" borderId="0" xfId="0" applyFont="1" applyFill="1" applyBorder="1" applyAlignment="1">
      <alignment horizontal="center" wrapText="1"/>
    </xf>
    <xf numFmtId="0" fontId="19" fillId="16" borderId="0" xfId="0" applyFont="1" applyFill="1" applyBorder="1"/>
    <xf numFmtId="168" fontId="17" fillId="0" borderId="0" xfId="0" applyNumberFormat="1" applyFont="1" applyFill="1" applyBorder="1" applyAlignment="1">
      <alignment horizontal="center" wrapText="1"/>
    </xf>
    <xf numFmtId="0" fontId="18" fillId="4" borderId="0" xfId="0" applyFont="1" applyFill="1" applyBorder="1"/>
    <xf numFmtId="10" fontId="18" fillId="4" borderId="0" xfId="2" applyNumberFormat="1" applyFont="1" applyFill="1" applyBorder="1"/>
    <xf numFmtId="168" fontId="17" fillId="0" borderId="0" xfId="0" applyNumberFormat="1" applyFont="1" applyFill="1" applyBorder="1" applyAlignment="1">
      <alignment horizontal="center"/>
    </xf>
    <xf numFmtId="43" fontId="0" fillId="5" borderId="0" xfId="1" applyNumberFormat="1" applyFont="1" applyFill="1" applyBorder="1" applyAlignment="1" applyProtection="1">
      <alignment horizontal="center"/>
    </xf>
    <xf numFmtId="170" fontId="0" fillId="5" borderId="0" xfId="1" applyNumberFormat="1" applyFont="1" applyFill="1" applyBorder="1" applyProtection="1"/>
    <xf numFmtId="170" fontId="0" fillId="6" borderId="0" xfId="1" applyNumberFormat="1" applyFont="1" applyFill="1" applyBorder="1" applyAlignment="1" applyProtection="1">
      <alignment horizontal="center" vertical="center"/>
    </xf>
    <xf numFmtId="0" fontId="19" fillId="0" borderId="0" xfId="0" applyFont="1" applyFill="1" applyBorder="1" applyAlignment="1">
      <alignment horizontal="left"/>
    </xf>
    <xf numFmtId="0" fontId="23" fillId="0" borderId="0" xfId="0" applyFont="1" applyFill="1" applyBorder="1" applyAlignment="1">
      <alignment horizontal="left"/>
    </xf>
    <xf numFmtId="170" fontId="0" fillId="5" borderId="0" xfId="1" applyNumberFormat="1" applyFont="1" applyFill="1" applyBorder="1" applyAlignment="1" applyProtection="1">
      <alignment horizontal="center"/>
    </xf>
    <xf numFmtId="3" fontId="16" fillId="0" borderId="0" xfId="0" applyNumberFormat="1" applyFont="1" applyFill="1" applyBorder="1" applyAlignment="1">
      <alignment horizontal="center" wrapText="1"/>
    </xf>
    <xf numFmtId="0" fontId="16" fillId="0" borderId="0" xfId="0" applyFont="1" applyFill="1" applyBorder="1" applyAlignment="1">
      <alignment wrapText="1"/>
    </xf>
    <xf numFmtId="0" fontId="17" fillId="0" borderId="0" xfId="0" applyFont="1" applyFill="1" applyBorder="1" applyAlignment="1">
      <alignment wrapText="1"/>
    </xf>
    <xf numFmtId="4" fontId="16" fillId="0" borderId="0" xfId="0" applyNumberFormat="1" applyFont="1" applyFill="1" applyBorder="1" applyAlignment="1">
      <alignment horizontal="center" wrapText="1"/>
    </xf>
    <xf numFmtId="0" fontId="12" fillId="0" borderId="0" xfId="0" applyFont="1" applyFill="1" applyBorder="1"/>
    <xf numFmtId="164" fontId="12" fillId="0" borderId="0" xfId="0" applyNumberFormat="1" applyFont="1" applyFill="1" applyBorder="1"/>
    <xf numFmtId="0" fontId="21" fillId="13" borderId="0" xfId="0" applyFont="1" applyFill="1" applyBorder="1" applyAlignment="1">
      <alignment horizontal="center" vertical="center"/>
    </xf>
    <xf numFmtId="0" fontId="21" fillId="13" borderId="0" xfId="0" applyFont="1" applyFill="1" applyBorder="1" applyAlignment="1">
      <alignment horizontal="center" vertical="center" wrapText="1"/>
    </xf>
    <xf numFmtId="172" fontId="19" fillId="0" borderId="0" xfId="0" applyNumberFormat="1" applyFont="1" applyFill="1" applyBorder="1"/>
    <xf numFmtId="173" fontId="12" fillId="0" borderId="0" xfId="0" applyNumberFormat="1" applyFont="1" applyFill="1" applyBorder="1"/>
    <xf numFmtId="0" fontId="34" fillId="0" borderId="0" xfId="0" applyFont="1" applyFill="1" applyBorder="1"/>
    <xf numFmtId="0" fontId="32" fillId="15" borderId="0" xfId="0" applyFont="1" applyFill="1" applyBorder="1" applyAlignment="1">
      <alignment horizontal="left"/>
    </xf>
    <xf numFmtId="0" fontId="21" fillId="15" borderId="0" xfId="0" applyFont="1" applyFill="1" applyBorder="1" applyAlignment="1">
      <alignment horizontal="left"/>
    </xf>
    <xf numFmtId="0" fontId="0" fillId="0" borderId="0" xfId="0" applyFont="1" applyAlignment="1">
      <alignment horizontal="left" indent="3"/>
    </xf>
    <xf numFmtId="3" fontId="17" fillId="0" borderId="0" xfId="0" applyNumberFormat="1" applyFont="1" applyFill="1" applyBorder="1" applyAlignment="1">
      <alignment vertical="center"/>
    </xf>
    <xf numFmtId="0" fontId="17" fillId="0" borderId="0" xfId="0" applyFont="1" applyFill="1" applyBorder="1" applyAlignment="1">
      <alignment vertical="center"/>
    </xf>
    <xf numFmtId="0" fontId="0" fillId="0" borderId="0" xfId="0" applyFont="1" applyFill="1"/>
    <xf numFmtId="0" fontId="5" fillId="0" borderId="0" xfId="3" applyFill="1" applyAlignment="1" applyProtection="1"/>
    <xf numFmtId="0" fontId="0" fillId="19" borderId="0" xfId="0" applyFont="1" applyFill="1"/>
    <xf numFmtId="0" fontId="5" fillId="19" borderId="0" xfId="3" applyFill="1" applyAlignment="1" applyProtection="1"/>
    <xf numFmtId="0" fontId="30" fillId="19" borderId="0" xfId="0" applyFont="1" applyFill="1"/>
    <xf numFmtId="0" fontId="34" fillId="19" borderId="0" xfId="0" applyFont="1" applyFill="1" applyBorder="1" applyAlignment="1"/>
    <xf numFmtId="0" fontId="16" fillId="0" borderId="1" xfId="0" applyFont="1" applyFill="1" applyBorder="1" applyAlignment="1">
      <alignment horizontal="center" wrapText="1"/>
    </xf>
    <xf numFmtId="0" fontId="17" fillId="0" borderId="0" xfId="0" applyFont="1" applyFill="1" applyBorder="1" applyAlignment="1">
      <alignment horizontal="left" wrapText="1" indent="3"/>
    </xf>
    <xf numFmtId="0" fontId="0" fillId="0" borderId="0" xfId="0" applyFont="1" applyAlignment="1">
      <alignment horizontal="left" wrapText="1" indent="3"/>
    </xf>
    <xf numFmtId="0" fontId="36" fillId="3" borderId="0" xfId="0" applyFont="1" applyFill="1" applyAlignment="1">
      <alignment horizontal="center" vertical="center" wrapText="1"/>
    </xf>
    <xf numFmtId="0" fontId="0" fillId="0" borderId="0" xfId="0" applyBorder="1"/>
    <xf numFmtId="1" fontId="0" fillId="0" borderId="0" xfId="0" applyNumberFormat="1" applyFont="1"/>
    <xf numFmtId="0" fontId="5" fillId="0" borderId="0" xfId="3" applyAlignment="1" applyProtection="1"/>
    <xf numFmtId="3" fontId="0" fillId="0" borderId="0" xfId="0" applyNumberFormat="1" applyFont="1"/>
    <xf numFmtId="169" fontId="0" fillId="0" borderId="0" xfId="1" applyNumberFormat="1" applyFont="1" applyFill="1" applyBorder="1" applyAlignment="1" applyProtection="1">
      <alignment horizontal="center"/>
    </xf>
    <xf numFmtId="170" fontId="0" fillId="0" borderId="0" xfId="1" applyNumberFormat="1" applyFont="1" applyFill="1" applyBorder="1" applyProtection="1"/>
    <xf numFmtId="170" fontId="0" fillId="0" borderId="0" xfId="1" applyNumberFormat="1" applyFont="1" applyFill="1" applyBorder="1" applyAlignment="1" applyProtection="1">
      <alignment horizontal="center"/>
    </xf>
    <xf numFmtId="170" fontId="3" fillId="6" borderId="0" xfId="1" applyNumberFormat="1" applyFont="1" applyFill="1" applyBorder="1" applyAlignment="1" applyProtection="1">
      <alignment horizontal="center"/>
    </xf>
    <xf numFmtId="0" fontId="0" fillId="0" borderId="0" xfId="0" applyFont="1" applyAlignment="1">
      <alignment horizontal="left" indent="3"/>
    </xf>
    <xf numFmtId="0" fontId="5" fillId="0" borderId="0" xfId="3" applyFill="1" applyBorder="1" applyAlignment="1" applyProtection="1"/>
    <xf numFmtId="174" fontId="19" fillId="0" borderId="0" xfId="5" applyNumberFormat="1" applyFont="1" applyFill="1" applyBorder="1" applyAlignment="1">
      <alignment horizontal="center"/>
    </xf>
    <xf numFmtId="170" fontId="0" fillId="8" borderId="0" xfId="1" applyNumberFormat="1" applyFont="1" applyFill="1" applyBorder="1" applyAlignment="1">
      <alignment horizontal="center"/>
    </xf>
    <xf numFmtId="170" fontId="0" fillId="10" borderId="0" xfId="1" applyNumberFormat="1" applyFont="1" applyFill="1" applyBorder="1" applyAlignment="1">
      <alignment horizontal="center"/>
    </xf>
    <xf numFmtId="3" fontId="16" fillId="0" borderId="1" xfId="0" applyNumberFormat="1" applyFont="1" applyFill="1" applyBorder="1" applyAlignment="1">
      <alignment horizontal="center" wrapText="1"/>
    </xf>
    <xf numFmtId="0" fontId="0" fillId="0" borderId="0" xfId="0" applyFont="1" applyAlignment="1">
      <alignment horizontal="left" indent="2"/>
    </xf>
    <xf numFmtId="0" fontId="41" fillId="2" borderId="0" xfId="0" applyFont="1" applyFill="1" applyBorder="1" applyAlignment="1" applyProtection="1">
      <alignment horizontal="left" vertical="center"/>
    </xf>
    <xf numFmtId="0" fontId="42" fillId="2" borderId="0" xfId="0" applyFont="1" applyFill="1" applyBorder="1" applyAlignment="1" applyProtection="1">
      <alignment horizontal="left" vertical="center"/>
    </xf>
    <xf numFmtId="0" fontId="40" fillId="4" borderId="0" xfId="0" applyFont="1" applyFill="1" applyBorder="1" applyAlignment="1" applyProtection="1">
      <alignment horizontal="left"/>
    </xf>
    <xf numFmtId="0" fontId="0" fillId="0" borderId="0" xfId="0" applyFill="1" applyBorder="1" applyAlignment="1">
      <alignment horizontal="center"/>
    </xf>
    <xf numFmtId="0" fontId="29" fillId="6" borderId="0" xfId="0" applyFont="1" applyFill="1" applyBorder="1" applyAlignment="1" applyProtection="1">
      <alignment horizontal="right"/>
    </xf>
    <xf numFmtId="0" fontId="29" fillId="6" borderId="0" xfId="0" applyFont="1" applyFill="1" applyBorder="1" applyAlignment="1" applyProtection="1">
      <alignment horizontal="right" vertical="center"/>
    </xf>
    <xf numFmtId="0" fontId="43" fillId="4" borderId="0" xfId="0" applyFont="1" applyFill="1" applyBorder="1" applyAlignment="1" applyProtection="1">
      <alignment horizontal="left" vertical="center"/>
    </xf>
    <xf numFmtId="0" fontId="21" fillId="13" borderId="0" xfId="0" applyFont="1" applyFill="1" applyBorder="1" applyAlignment="1">
      <alignment horizontal="left"/>
    </xf>
    <xf numFmtId="0" fontId="19" fillId="13" borderId="0" xfId="0" applyFont="1" applyFill="1" applyBorder="1"/>
    <xf numFmtId="0" fontId="18" fillId="14" borderId="0" xfId="0" applyFont="1" applyFill="1" applyBorder="1" applyAlignment="1">
      <alignment horizontal="left" wrapText="1"/>
    </xf>
    <xf numFmtId="0" fontId="21" fillId="13" borderId="0" xfId="0" applyFont="1" applyFill="1" applyBorder="1" applyAlignment="1">
      <alignment horizontal="center"/>
    </xf>
    <xf numFmtId="0" fontId="19" fillId="0" borderId="0" xfId="4" applyFont="1" applyFill="1" applyBorder="1" applyAlignment="1">
      <alignment horizontal="center" wrapText="1"/>
    </xf>
    <xf numFmtId="0" fontId="19" fillId="0" borderId="0" xfId="0" applyFont="1" applyFill="1" applyBorder="1" applyAlignment="1">
      <alignment horizontal="center"/>
    </xf>
    <xf numFmtId="0" fontId="18" fillId="0" borderId="0" xfId="0" applyFont="1" applyFill="1" applyBorder="1"/>
    <xf numFmtId="0" fontId="20" fillId="0" borderId="0" xfId="0" applyFont="1" applyFill="1" applyBorder="1" applyAlignment="1">
      <alignment horizontal="left"/>
    </xf>
    <xf numFmtId="0" fontId="5" fillId="0" borderId="0" xfId="3" applyFill="1" applyBorder="1" applyAlignment="1" applyProtection="1">
      <alignment horizontal="left"/>
    </xf>
    <xf numFmtId="0" fontId="0" fillId="20" borderId="0" xfId="0" applyFill="1" applyBorder="1"/>
    <xf numFmtId="0" fontId="18" fillId="14" borderId="0" xfId="0" applyFont="1" applyFill="1" applyBorder="1" applyAlignment="1">
      <alignment horizontal="right" wrapText="1"/>
    </xf>
    <xf numFmtId="0" fontId="0" fillId="20" borderId="0" xfId="0" applyFill="1" applyBorder="1" applyAlignment="1">
      <alignment horizontal="right"/>
    </xf>
    <xf numFmtId="0" fontId="23" fillId="0" borderId="0" xfId="0" applyFont="1" applyFill="1" applyBorder="1" applyAlignment="1">
      <alignment horizontal="right"/>
    </xf>
    <xf numFmtId="164" fontId="23" fillId="0" borderId="0" xfId="0" applyNumberFormat="1" applyFont="1" applyFill="1" applyBorder="1" applyAlignment="1">
      <alignment horizontal="right"/>
    </xf>
    <xf numFmtId="11" fontId="19" fillId="0" borderId="0" xfId="0" applyNumberFormat="1" applyFont="1" applyFill="1" applyBorder="1" applyAlignment="1">
      <alignment horizontal="right"/>
    </xf>
    <xf numFmtId="0" fontId="19" fillId="0" borderId="0" xfId="0" applyFont="1" applyFill="1" applyBorder="1" applyAlignment="1">
      <alignment horizontal="right"/>
    </xf>
    <xf numFmtId="165" fontId="19" fillId="0" borderId="0" xfId="0" applyNumberFormat="1" applyFont="1" applyFill="1" applyBorder="1" applyAlignment="1">
      <alignment horizontal="right"/>
    </xf>
    <xf numFmtId="0" fontId="21" fillId="14" borderId="0" xfId="0" applyFont="1" applyFill="1" applyBorder="1" applyAlignment="1">
      <alignment horizontal="right" wrapText="1"/>
    </xf>
    <xf numFmtId="166" fontId="19" fillId="0" borderId="0" xfId="0" applyNumberFormat="1" applyFont="1" applyFill="1" applyBorder="1" applyAlignment="1">
      <alignment horizontal="right"/>
    </xf>
    <xf numFmtId="167" fontId="19" fillId="0" borderId="0" xfId="0" applyNumberFormat="1" applyFont="1" applyFill="1" applyBorder="1" applyAlignment="1">
      <alignment horizontal="right"/>
    </xf>
    <xf numFmtId="164" fontId="19" fillId="0" borderId="0" xfId="0" applyNumberFormat="1" applyFont="1" applyFill="1" applyBorder="1" applyAlignment="1">
      <alignment horizontal="right"/>
    </xf>
    <xf numFmtId="0" fontId="12" fillId="0" borderId="0" xfId="0" applyFont="1" applyFill="1" applyBorder="1" applyAlignment="1">
      <alignment horizontal="right"/>
    </xf>
    <xf numFmtId="0" fontId="19" fillId="0" borderId="0" xfId="0" applyFont="1" applyFill="1" applyBorder="1" applyAlignment="1">
      <alignment horizontal="right" wrapText="1"/>
    </xf>
    <xf numFmtId="44" fontId="0" fillId="0" borderId="0" xfId="5" applyFont="1" applyBorder="1"/>
    <xf numFmtId="44" fontId="0" fillId="0" borderId="0" xfId="0" applyNumberFormat="1" applyBorder="1"/>
    <xf numFmtId="44" fontId="19" fillId="0" borderId="0" xfId="5" applyFont="1" applyFill="1" applyBorder="1"/>
    <xf numFmtId="168" fontId="34" fillId="18" borderId="0" xfId="0" applyNumberFormat="1" applyFont="1" applyFill="1" applyBorder="1" applyAlignment="1">
      <alignment horizontal="center" wrapText="1"/>
    </xf>
    <xf numFmtId="168" fontId="34" fillId="17" borderId="0" xfId="0" applyNumberFormat="1" applyFont="1" applyFill="1" applyBorder="1" applyAlignment="1">
      <alignment horizontal="center" wrapText="1"/>
    </xf>
    <xf numFmtId="1" fontId="34" fillId="15" borderId="0" xfId="0" applyNumberFormat="1" applyFont="1" applyFill="1" applyBorder="1" applyAlignment="1">
      <alignment horizontal="center" wrapText="1"/>
    </xf>
    <xf numFmtId="175" fontId="34" fillId="17" borderId="0" xfId="5" applyNumberFormat="1" applyFont="1" applyFill="1" applyBorder="1" applyAlignment="1">
      <alignment horizontal="center" wrapText="1"/>
    </xf>
    <xf numFmtId="175" fontId="34" fillId="18" borderId="0" xfId="5" applyNumberFormat="1" applyFont="1" applyFill="1" applyBorder="1" applyAlignment="1">
      <alignment horizontal="center" wrapText="1"/>
    </xf>
    <xf numFmtId="44" fontId="0" fillId="0" borderId="0" xfId="0" applyNumberFormat="1"/>
    <xf numFmtId="168" fontId="18" fillId="22" borderId="0" xfId="0" applyNumberFormat="1" applyFont="1" applyFill="1" applyBorder="1" applyAlignment="1">
      <alignment horizontal="center" wrapText="1"/>
    </xf>
    <xf numFmtId="168" fontId="17" fillId="20" borderId="0" xfId="0" applyNumberFormat="1" applyFont="1" applyFill="1" applyBorder="1" applyAlignment="1">
      <alignment horizontal="center" wrapText="1"/>
    </xf>
    <xf numFmtId="168" fontId="17" fillId="20" borderId="0" xfId="0" applyNumberFormat="1" applyFont="1" applyFill="1" applyBorder="1" applyAlignment="1">
      <alignment horizontal="center"/>
    </xf>
    <xf numFmtId="175" fontId="17" fillId="20" borderId="0" xfId="5" applyNumberFormat="1" applyFont="1" applyFill="1" applyBorder="1" applyAlignment="1">
      <alignment horizontal="center" wrapText="1"/>
    </xf>
    <xf numFmtId="175" fontId="17" fillId="20" borderId="2" xfId="5" applyNumberFormat="1" applyFont="1" applyFill="1" applyBorder="1" applyAlignment="1">
      <alignment horizontal="center" wrapText="1"/>
    </xf>
    <xf numFmtId="175" fontId="17" fillId="20" borderId="3" xfId="5" applyNumberFormat="1" applyFont="1" applyFill="1" applyBorder="1" applyAlignment="1">
      <alignment horizontal="center" wrapText="1"/>
    </xf>
    <xf numFmtId="175" fontId="17" fillId="20" borderId="6" xfId="5" applyNumberFormat="1" applyFont="1" applyFill="1" applyBorder="1" applyAlignment="1">
      <alignment horizontal="center" wrapText="1"/>
    </xf>
    <xf numFmtId="168" fontId="17" fillId="20" borderId="2" xfId="0" applyNumberFormat="1" applyFont="1" applyFill="1" applyBorder="1" applyAlignment="1">
      <alignment horizontal="center" wrapText="1"/>
    </xf>
    <xf numFmtId="168" fontId="17" fillId="14" borderId="3" xfId="0" applyNumberFormat="1" applyFont="1" applyFill="1" applyBorder="1" applyAlignment="1">
      <alignment horizontal="center" wrapText="1"/>
    </xf>
    <xf numFmtId="168" fontId="17" fillId="0" borderId="2" xfId="0" applyNumberFormat="1" applyFont="1" applyFill="1" applyBorder="1" applyAlignment="1">
      <alignment horizontal="center" wrapText="1"/>
    </xf>
    <xf numFmtId="168" fontId="17" fillId="0" borderId="3" xfId="0" applyNumberFormat="1" applyFont="1" applyFill="1" applyBorder="1" applyAlignment="1">
      <alignment horizontal="center" wrapText="1"/>
    </xf>
    <xf numFmtId="168" fontId="17" fillId="20" borderId="2" xfId="0" applyNumberFormat="1" applyFont="1" applyFill="1" applyBorder="1" applyAlignment="1">
      <alignment horizontal="center"/>
    </xf>
    <xf numFmtId="168" fontId="17" fillId="14" borderId="3" xfId="0" applyNumberFormat="1" applyFont="1" applyFill="1" applyBorder="1" applyAlignment="1">
      <alignment horizontal="center"/>
    </xf>
    <xf numFmtId="168" fontId="17" fillId="20" borderId="4" xfId="0" applyNumberFormat="1" applyFont="1" applyFill="1" applyBorder="1" applyAlignment="1">
      <alignment horizontal="center" wrapText="1"/>
    </xf>
    <xf numFmtId="168" fontId="17" fillId="20" borderId="5" xfId="0" applyNumberFormat="1" applyFont="1" applyFill="1" applyBorder="1" applyAlignment="1">
      <alignment horizontal="center" wrapText="1"/>
    </xf>
    <xf numFmtId="168" fontId="17" fillId="14" borderId="6" xfId="0" applyNumberFormat="1" applyFont="1" applyFill="1" applyBorder="1" applyAlignment="1">
      <alignment horizontal="center" wrapText="1"/>
    </xf>
    <xf numFmtId="3" fontId="17" fillId="21" borderId="2" xfId="0" applyNumberFormat="1" applyFont="1" applyFill="1" applyBorder="1" applyAlignment="1">
      <alignment horizontal="center" wrapText="1"/>
    </xf>
    <xf numFmtId="3" fontId="17" fillId="0" borderId="2" xfId="0" applyNumberFormat="1" applyFont="1" applyFill="1" applyBorder="1" applyAlignment="1">
      <alignment horizontal="center" wrapText="1"/>
    </xf>
    <xf numFmtId="3" fontId="17" fillId="21" borderId="4" xfId="0" applyNumberFormat="1" applyFont="1" applyFill="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44" fontId="17" fillId="7" borderId="2" xfId="5" applyFont="1" applyFill="1" applyBorder="1" applyAlignment="1">
      <alignment horizontal="center" wrapText="1"/>
    </xf>
    <xf numFmtId="0" fontId="3" fillId="0" borderId="2" xfId="0" applyFont="1" applyBorder="1" applyAlignment="1">
      <alignment horizontal="center" wrapText="1"/>
    </xf>
    <xf numFmtId="0" fontId="3" fillId="0" borderId="3" xfId="0" applyFont="1" applyBorder="1" applyAlignment="1">
      <alignment horizontal="center" wrapText="1"/>
    </xf>
    <xf numFmtId="44" fontId="17" fillId="7" borderId="4" xfId="5" applyFont="1" applyFill="1" applyBorder="1" applyAlignment="1">
      <alignment horizontal="center" wrapText="1"/>
    </xf>
    <xf numFmtId="3" fontId="16" fillId="0" borderId="2" xfId="0" applyNumberFormat="1" applyFont="1" applyFill="1" applyBorder="1" applyAlignment="1">
      <alignment horizontal="center" wrapText="1"/>
    </xf>
    <xf numFmtId="3" fontId="16" fillId="0" borderId="3" xfId="0" applyNumberFormat="1" applyFont="1" applyFill="1" applyBorder="1" applyAlignment="1">
      <alignment horizontal="center" wrapText="1"/>
    </xf>
    <xf numFmtId="3" fontId="17" fillId="14" borderId="3" xfId="0" applyNumberFormat="1" applyFont="1" applyFill="1" applyBorder="1" applyAlignment="1">
      <alignment horizontal="center" wrapText="1"/>
    </xf>
    <xf numFmtId="0" fontId="0" fillId="0" borderId="2" xfId="0" applyFont="1" applyBorder="1" applyAlignment="1">
      <alignment horizontal="center"/>
    </xf>
    <xf numFmtId="0" fontId="0" fillId="0" borderId="3" xfId="0" applyFont="1" applyBorder="1" applyAlignment="1">
      <alignment horizontal="center"/>
    </xf>
    <xf numFmtId="175" fontId="0" fillId="0" borderId="2" xfId="5" applyNumberFormat="1" applyFont="1" applyFill="1" applyBorder="1" applyAlignment="1">
      <alignment horizontal="center"/>
    </xf>
    <xf numFmtId="175" fontId="0" fillId="0" borderId="0" xfId="5" applyNumberFormat="1" applyFont="1" applyFill="1" applyBorder="1" applyAlignment="1">
      <alignment horizontal="center"/>
    </xf>
    <xf numFmtId="0" fontId="0" fillId="0" borderId="3" xfId="0" applyFill="1" applyBorder="1" applyAlignment="1">
      <alignment horizontal="center"/>
    </xf>
    <xf numFmtId="3" fontId="0" fillId="20" borderId="3" xfId="0" applyNumberFormat="1" applyFont="1" applyFill="1" applyBorder="1" applyAlignment="1">
      <alignment horizontal="center"/>
    </xf>
    <xf numFmtId="175" fontId="0" fillId="20" borderId="2" xfId="5" applyNumberFormat="1" applyFont="1" applyFill="1" applyBorder="1" applyAlignment="1">
      <alignment horizontal="center"/>
    </xf>
    <xf numFmtId="175" fontId="0" fillId="20" borderId="0" xfId="5" applyNumberFormat="1" applyFont="1" applyFill="1" applyBorder="1" applyAlignment="1">
      <alignment horizontal="center"/>
    </xf>
    <xf numFmtId="3" fontId="0" fillId="20" borderId="3" xfId="0" applyNumberFormat="1" applyFill="1" applyBorder="1" applyAlignment="1">
      <alignment horizontal="center"/>
    </xf>
    <xf numFmtId="3" fontId="0" fillId="20" borderId="6" xfId="0" applyNumberFormat="1" applyFont="1" applyFill="1" applyBorder="1" applyAlignment="1">
      <alignment horizontal="center"/>
    </xf>
    <xf numFmtId="175" fontId="0" fillId="20" borderId="4" xfId="5" applyNumberFormat="1" applyFont="1" applyFill="1" applyBorder="1" applyAlignment="1">
      <alignment horizontal="center"/>
    </xf>
    <xf numFmtId="175" fontId="0" fillId="20" borderId="5" xfId="5" applyNumberFormat="1" applyFont="1" applyFill="1" applyBorder="1" applyAlignment="1">
      <alignment horizontal="center"/>
    </xf>
    <xf numFmtId="0" fontId="0" fillId="0" borderId="0" xfId="0" applyFont="1" applyFill="1" applyBorder="1" applyAlignment="1">
      <alignment horizontal="left" wrapText="1" indent="3"/>
    </xf>
    <xf numFmtId="0" fontId="0" fillId="20" borderId="7" xfId="0" applyFont="1" applyFill="1" applyBorder="1"/>
    <xf numFmtId="0" fontId="14" fillId="20" borderId="9" xfId="0" applyFont="1" applyFill="1" applyBorder="1"/>
    <xf numFmtId="0" fontId="0" fillId="20" borderId="9" xfId="0" applyFont="1" applyFill="1" applyBorder="1"/>
    <xf numFmtId="0" fontId="0" fillId="20" borderId="8" xfId="0" applyFont="1" applyFill="1" applyBorder="1"/>
    <xf numFmtId="3" fontId="16" fillId="20" borderId="2" xfId="0" applyNumberFormat="1" applyFont="1" applyFill="1" applyBorder="1" applyAlignment="1">
      <alignment horizontal="left" wrapText="1"/>
    </xf>
    <xf numFmtId="0" fontId="3" fillId="20" borderId="0" xfId="0" applyFont="1" applyFill="1" applyBorder="1" applyAlignment="1">
      <alignment horizontal="center" wrapText="1"/>
    </xf>
    <xf numFmtId="0" fontId="3" fillId="20" borderId="0" xfId="0" applyFont="1" applyFill="1" applyBorder="1" applyAlignment="1">
      <alignment horizontal="center"/>
    </xf>
    <xf numFmtId="0" fontId="3" fillId="20" borderId="3" xfId="0" applyFont="1" applyFill="1" applyBorder="1" applyAlignment="1">
      <alignment horizontal="center"/>
    </xf>
    <xf numFmtId="0" fontId="0" fillId="20" borderId="2" xfId="0" applyFont="1" applyFill="1" applyBorder="1"/>
    <xf numFmtId="1" fontId="3" fillId="20" borderId="0" xfId="0" applyNumberFormat="1" applyFont="1" applyFill="1" applyBorder="1" applyAlignment="1">
      <alignment horizontal="center"/>
    </xf>
    <xf numFmtId="1" fontId="3" fillId="20" borderId="3" xfId="0" applyNumberFormat="1" applyFont="1" applyFill="1" applyBorder="1" applyAlignment="1">
      <alignment horizontal="center"/>
    </xf>
    <xf numFmtId="0" fontId="44" fillId="0" borderId="7" xfId="0" applyFont="1" applyBorder="1"/>
    <xf numFmtId="0" fontId="0" fillId="0" borderId="9" xfId="0" applyBorder="1"/>
    <xf numFmtId="0" fontId="0" fillId="0" borderId="8" xfId="0" applyBorder="1"/>
    <xf numFmtId="0" fontId="0" fillId="0" borderId="2" xfId="0" applyBorder="1"/>
    <xf numFmtId="0" fontId="0" fillId="0" borderId="3" xfId="0" applyBorder="1"/>
    <xf numFmtId="0" fontId="3" fillId="0" borderId="2" xfId="0" applyFont="1" applyBorder="1" applyAlignment="1">
      <alignment horizontal="left" indent="2"/>
    </xf>
    <xf numFmtId="0" fontId="2" fillId="0" borderId="0" xfId="0" applyFont="1" applyBorder="1"/>
    <xf numFmtId="0" fontId="3" fillId="0" borderId="0" xfId="0" applyFont="1" applyBorder="1" applyAlignment="1">
      <alignment horizontal="center"/>
    </xf>
    <xf numFmtId="0" fontId="0" fillId="0" borderId="2" xfId="0" applyBorder="1" applyAlignment="1">
      <alignment horizontal="left" wrapText="1" indent="5"/>
    </xf>
    <xf numFmtId="0" fontId="35" fillId="0" borderId="2" xfId="0" applyFont="1" applyBorder="1" applyAlignment="1">
      <alignment horizontal="left" indent="1"/>
    </xf>
    <xf numFmtId="0" fontId="0" fillId="0" borderId="2" xfId="0" applyBorder="1" applyAlignment="1">
      <alignment horizontal="left" indent="2"/>
    </xf>
    <xf numFmtId="0" fontId="0" fillId="0" borderId="2" xfId="0" applyBorder="1" applyAlignment="1">
      <alignment horizontal="left" indent="8"/>
    </xf>
    <xf numFmtId="0" fontId="14" fillId="0" borderId="2" xfId="0" applyFont="1" applyBorder="1"/>
    <xf numFmtId="0" fontId="3" fillId="0" borderId="2" xfId="0" applyFont="1" applyBorder="1" applyAlignment="1">
      <alignment horizontal="center"/>
    </xf>
    <xf numFmtId="0" fontId="0" fillId="0" borderId="2" xfId="0" applyBorder="1" applyAlignment="1">
      <alignment horizontal="left" indent="5"/>
    </xf>
    <xf numFmtId="0" fontId="0" fillId="0" borderId="4" xfId="0" applyBorder="1"/>
    <xf numFmtId="0" fontId="0" fillId="0" borderId="5" xfId="0" applyBorder="1"/>
    <xf numFmtId="0" fontId="0" fillId="0" borderId="6" xfId="0" applyBorder="1"/>
    <xf numFmtId="0" fontId="0" fillId="0" borderId="7" xfId="0" applyBorder="1"/>
    <xf numFmtId="0" fontId="5" fillId="0" borderId="2" xfId="3" applyBorder="1" applyAlignment="1" applyProtection="1"/>
    <xf numFmtId="0" fontId="21" fillId="14" borderId="3" xfId="0" applyFont="1" applyFill="1" applyBorder="1" applyAlignment="1">
      <alignment horizontal="center" wrapText="1"/>
    </xf>
    <xf numFmtId="0" fontId="0" fillId="0" borderId="0" xfId="0" applyBorder="1" applyAlignment="1">
      <alignment horizontal="center"/>
    </xf>
    <xf numFmtId="171" fontId="0" fillId="0" borderId="0" xfId="1" applyNumberFormat="1" applyFont="1" applyBorder="1"/>
    <xf numFmtId="171" fontId="0" fillId="0" borderId="3" xfId="1" applyNumberFormat="1" applyFont="1" applyBorder="1"/>
    <xf numFmtId="0" fontId="3" fillId="0" borderId="2" xfId="0" applyFont="1" applyBorder="1" applyAlignment="1">
      <alignment horizontal="right"/>
    </xf>
    <xf numFmtId="170" fontId="0" fillId="10" borderId="0" xfId="0" applyNumberFormat="1" applyFill="1" applyBorder="1"/>
    <xf numFmtId="3" fontId="29" fillId="5" borderId="0" xfId="0" applyNumberFormat="1" applyFont="1" applyFill="1" applyBorder="1" applyAlignment="1" applyProtection="1">
      <alignment horizontal="center" vertical="center"/>
    </xf>
    <xf numFmtId="172" fontId="0" fillId="0" borderId="0" xfId="0" applyNumberFormat="1" applyBorder="1"/>
    <xf numFmtId="0" fontId="28" fillId="0" borderId="0" xfId="0" applyFont="1" applyFill="1" applyBorder="1" applyAlignment="1">
      <alignment horizontal="left" wrapText="1"/>
    </xf>
    <xf numFmtId="0" fontId="0" fillId="0" borderId="0" xfId="0" applyFont="1" applyAlignment="1">
      <alignment vertical="top" wrapText="1"/>
    </xf>
    <xf numFmtId="0" fontId="12" fillId="0" borderId="0" xfId="0" applyFont="1"/>
    <xf numFmtId="0" fontId="3" fillId="0" borderId="0" xfId="0" applyFont="1" applyFill="1" applyBorder="1"/>
    <xf numFmtId="174" fontId="18" fillId="0" borderId="0" xfId="5" applyNumberFormat="1" applyFont="1" applyFill="1" applyBorder="1" applyAlignment="1">
      <alignment horizontal="center"/>
    </xf>
    <xf numFmtId="0" fontId="0" fillId="0" borderId="0" xfId="0" applyFont="1" applyAlignment="1">
      <alignment vertical="top"/>
    </xf>
    <xf numFmtId="9" fontId="17" fillId="0" borderId="3" xfId="2" applyFont="1" applyFill="1" applyBorder="1" applyAlignment="1">
      <alignment horizontal="center" wrapText="1"/>
    </xf>
    <xf numFmtId="9" fontId="17" fillId="21" borderId="3" xfId="2" applyFont="1" applyFill="1" applyBorder="1" applyAlignment="1">
      <alignment horizontal="center" wrapText="1"/>
    </xf>
    <xf numFmtId="0" fontId="0" fillId="0" borderId="0" xfId="0" applyFont="1" applyAlignment="1">
      <alignment horizontal="left" indent="2"/>
    </xf>
    <xf numFmtId="0" fontId="29" fillId="5" borderId="10" xfId="0" applyFont="1" applyFill="1" applyBorder="1" applyAlignment="1" applyProtection="1">
      <alignment horizontal="right"/>
    </xf>
    <xf numFmtId="3" fontId="29" fillId="5" borderId="11" xfId="0" applyNumberFormat="1" applyFont="1" applyFill="1" applyBorder="1" applyAlignment="1" applyProtection="1">
      <alignment horizontal="center" vertical="center"/>
    </xf>
    <xf numFmtId="0" fontId="29" fillId="5" borderId="12" xfId="0" applyFont="1" applyFill="1" applyBorder="1" applyProtection="1"/>
    <xf numFmtId="0" fontId="29" fillId="5" borderId="13" xfId="0" applyFont="1" applyFill="1" applyBorder="1" applyAlignment="1" applyProtection="1">
      <alignment horizontal="right"/>
    </xf>
    <xf numFmtId="0" fontId="29" fillId="5" borderId="14" xfId="0" applyFont="1" applyFill="1" applyBorder="1" applyProtection="1"/>
    <xf numFmtId="0" fontId="29" fillId="6" borderId="15" xfId="0" applyFont="1" applyFill="1" applyBorder="1" applyAlignment="1" applyProtection="1">
      <alignment horizontal="right"/>
    </xf>
    <xf numFmtId="3" fontId="29" fillId="6" borderId="16" xfId="0" applyNumberFormat="1" applyFont="1" applyFill="1" applyBorder="1" applyAlignment="1" applyProtection="1">
      <alignment horizontal="center" vertical="center"/>
    </xf>
    <xf numFmtId="0" fontId="29" fillId="6" borderId="17" xfId="0" applyFont="1" applyFill="1" applyBorder="1" applyProtection="1"/>
    <xf numFmtId="9" fontId="17" fillId="0" borderId="6" xfId="2" applyFont="1" applyFill="1" applyBorder="1" applyAlignment="1">
      <alignment horizontal="center" wrapText="1"/>
    </xf>
    <xf numFmtId="169" fontId="33" fillId="0" borderId="0" xfId="1" applyNumberFormat="1" applyFont="1" applyFill="1" applyBorder="1" applyAlignment="1">
      <alignment horizontal="center" vertical="center"/>
    </xf>
    <xf numFmtId="0" fontId="0" fillId="20" borderId="1" xfId="0" applyFont="1" applyFill="1" applyBorder="1" applyAlignment="1">
      <alignment wrapText="1"/>
    </xf>
    <xf numFmtId="175" fontId="0" fillId="20" borderId="1" xfId="5" applyNumberFormat="1" applyFont="1" applyFill="1" applyBorder="1" applyAlignment="1">
      <alignment horizontal="center"/>
    </xf>
    <xf numFmtId="0" fontId="17" fillId="20" borderId="1" xfId="0" applyFont="1" applyFill="1" applyBorder="1" applyAlignment="1">
      <alignment wrapText="1"/>
    </xf>
    <xf numFmtId="172" fontId="0" fillId="20" borderId="1" xfId="0" applyNumberFormat="1" applyFont="1" applyFill="1" applyBorder="1" applyAlignment="1">
      <alignment horizontal="center"/>
    </xf>
    <xf numFmtId="0" fontId="34" fillId="0" borderId="0" xfId="0" applyFont="1" applyFill="1" applyBorder="1" applyAlignment="1">
      <alignment horizontal="right"/>
    </xf>
    <xf numFmtId="171" fontId="19" fillId="0" borderId="0" xfId="1" applyNumberFormat="1" applyFont="1" applyFill="1" applyBorder="1"/>
    <xf numFmtId="0" fontId="29" fillId="0" borderId="0" xfId="0" applyFont="1"/>
    <xf numFmtId="0" fontId="5" fillId="9" borderId="0" xfId="3" applyFill="1" applyAlignment="1" applyProtection="1">
      <alignment horizontal="center" wrapText="1"/>
    </xf>
    <xf numFmtId="0" fontId="5" fillId="4" borderId="0" xfId="3" applyFill="1" applyAlignment="1" applyProtection="1"/>
    <xf numFmtId="0" fontId="5" fillId="9" borderId="0" xfId="3" applyFill="1" applyAlignment="1" applyProtection="1">
      <alignment horizontal="left" vertical="center" indent="8"/>
    </xf>
    <xf numFmtId="0" fontId="14" fillId="9" borderId="0" xfId="0" applyFont="1" applyFill="1" applyAlignment="1">
      <alignment horizontal="left" wrapText="1" indent="1"/>
    </xf>
    <xf numFmtId="0" fontId="13" fillId="4" borderId="0" xfId="3" applyFont="1" applyFill="1" applyBorder="1" applyAlignment="1" applyProtection="1">
      <alignment horizontal="left"/>
    </xf>
    <xf numFmtId="0" fontId="28" fillId="4" borderId="0" xfId="0" applyFont="1" applyFill="1" applyBorder="1" applyAlignment="1" applyProtection="1">
      <alignment horizontal="left" vertical="top" wrapText="1"/>
    </xf>
    <xf numFmtId="0" fontId="21" fillId="13" borderId="0" xfId="0" applyFont="1" applyFill="1" applyBorder="1" applyAlignment="1">
      <alignment horizontal="left"/>
    </xf>
    <xf numFmtId="3" fontId="16" fillId="0" borderId="1" xfId="0" applyNumberFormat="1" applyFont="1" applyFill="1" applyBorder="1" applyAlignment="1">
      <alignment horizontal="center" wrapText="1"/>
    </xf>
    <xf numFmtId="0" fontId="0" fillId="0" borderId="1" xfId="0" applyFont="1" applyFill="1" applyBorder="1" applyAlignment="1">
      <alignment horizontal="center" wrapText="1"/>
    </xf>
    <xf numFmtId="0" fontId="28" fillId="0" borderId="0" xfId="0" applyFont="1" applyFill="1" applyBorder="1" applyAlignment="1">
      <alignment horizontal="left" wrapText="1"/>
    </xf>
    <xf numFmtId="0" fontId="0" fillId="0" borderId="0" xfId="0" applyFont="1" applyAlignment="1">
      <alignment horizontal="left" indent="2"/>
    </xf>
    <xf numFmtId="0" fontId="0" fillId="0" borderId="0" xfId="0" applyFont="1" applyAlignment="1">
      <alignment horizontal="left" wrapText="1" indent="3"/>
    </xf>
    <xf numFmtId="0" fontId="40" fillId="0" borderId="0" xfId="0" applyFont="1" applyAlignment="1">
      <alignment horizontal="left"/>
    </xf>
    <xf numFmtId="0" fontId="0" fillId="0" borderId="0" xfId="0" applyProtection="1">
      <protection locked="0"/>
    </xf>
    <xf numFmtId="0" fontId="0" fillId="8" borderId="0" xfId="0" applyFill="1" applyAlignment="1" applyProtection="1">
      <alignment horizontal="center"/>
      <protection locked="0"/>
    </xf>
    <xf numFmtId="14" fontId="0" fillId="10" borderId="0" xfId="0" applyNumberFormat="1" applyFill="1" applyAlignment="1" applyProtection="1">
      <alignment horizontal="center"/>
      <protection locked="0"/>
    </xf>
    <xf numFmtId="170" fontId="0" fillId="8" borderId="0" xfId="1" applyNumberFormat="1" applyFont="1" applyFill="1" applyBorder="1" applyAlignment="1" applyProtection="1">
      <alignment horizontal="center"/>
      <protection locked="0"/>
    </xf>
    <xf numFmtId="170" fontId="0" fillId="8" borderId="0" xfId="1" applyNumberFormat="1" applyFont="1" applyFill="1" applyBorder="1" applyAlignment="1" applyProtection="1">
      <alignment horizontal="left" vertical="top" wrapText="1"/>
      <protection locked="0"/>
    </xf>
    <xf numFmtId="170" fontId="0" fillId="8" borderId="0" xfId="1" applyNumberFormat="1" applyFont="1" applyFill="1" applyAlignment="1" applyProtection="1">
      <alignment horizontal="center"/>
      <protection locked="0"/>
    </xf>
    <xf numFmtId="170" fontId="0" fillId="8" borderId="0" xfId="1" applyNumberFormat="1" applyFont="1" applyFill="1" applyBorder="1" applyAlignment="1" applyProtection="1">
      <alignment horizontal="center"/>
      <protection locked="0"/>
    </xf>
    <xf numFmtId="9" fontId="0" fillId="11" borderId="0" xfId="0" applyNumberFormat="1" applyFill="1" applyAlignment="1" applyProtection="1">
      <alignment horizontal="center"/>
      <protection locked="0"/>
    </xf>
    <xf numFmtId="9" fontId="0" fillId="11" borderId="0" xfId="0" applyNumberFormat="1" applyFont="1" applyFill="1" applyAlignment="1" applyProtection="1">
      <alignment horizontal="center"/>
      <protection locked="0"/>
    </xf>
    <xf numFmtId="170" fontId="0" fillId="8" borderId="0" xfId="1" applyNumberFormat="1" applyFont="1" applyFill="1" applyAlignment="1" applyProtection="1">
      <alignment horizontal="left" wrapText="1"/>
      <protection locked="0"/>
    </xf>
    <xf numFmtId="0" fontId="0" fillId="0" borderId="0" xfId="0" applyProtection="1"/>
    <xf numFmtId="0" fontId="3" fillId="0" borderId="0" xfId="0" applyFont="1" applyAlignment="1" applyProtection="1">
      <alignment horizontal="right"/>
    </xf>
    <xf numFmtId="0" fontId="3" fillId="0" borderId="0" xfId="0" applyFont="1" applyBorder="1" applyAlignment="1" applyProtection="1">
      <alignment horizontal="left"/>
    </xf>
    <xf numFmtId="0" fontId="0" fillId="0" borderId="0" xfId="0" applyBorder="1" applyProtection="1"/>
    <xf numFmtId="0" fontId="0" fillId="0" borderId="0" xfId="0" applyBorder="1" applyAlignment="1" applyProtection="1">
      <alignment horizontal="left" wrapText="1" indent="3"/>
    </xf>
    <xf numFmtId="0" fontId="38" fillId="0" borderId="0" xfId="0" applyFont="1" applyAlignment="1" applyProtection="1">
      <alignment horizontal="left" vertical="top" wrapText="1"/>
    </xf>
    <xf numFmtId="0" fontId="0" fillId="0" borderId="0" xfId="0" applyBorder="1" applyAlignment="1" applyProtection="1">
      <alignment horizontal="left" wrapText="1" indent="7"/>
    </xf>
    <xf numFmtId="170" fontId="0" fillId="10" borderId="0" xfId="1" applyNumberFormat="1" applyFont="1" applyFill="1" applyBorder="1" applyAlignment="1" applyProtection="1">
      <alignment horizontal="center"/>
    </xf>
    <xf numFmtId="0" fontId="14" fillId="0" borderId="0" xfId="0" applyFont="1" applyProtection="1"/>
    <xf numFmtId="0" fontId="35" fillId="0" borderId="0" xfId="0" applyFont="1" applyAlignment="1" applyProtection="1">
      <alignment horizontal="left" indent="1"/>
    </xf>
    <xf numFmtId="0" fontId="3" fillId="0" borderId="0" xfId="0" applyFont="1" applyAlignment="1" applyProtection="1">
      <alignment horizontal="left" indent="2"/>
    </xf>
    <xf numFmtId="0" fontId="3" fillId="0" borderId="0" xfId="0" applyFont="1" applyAlignment="1" applyProtection="1">
      <alignment horizontal="center"/>
    </xf>
    <xf numFmtId="0" fontId="0" fillId="0" borderId="0" xfId="0" applyAlignment="1" applyProtection="1">
      <alignment horizontal="left" wrapText="1" indent="5"/>
    </xf>
    <xf numFmtId="0" fontId="0" fillId="0" borderId="0" xfId="0" applyFill="1" applyAlignment="1" applyProtection="1">
      <alignment horizontal="center"/>
    </xf>
    <xf numFmtId="0" fontId="0" fillId="0" borderId="0" xfId="0" applyAlignment="1" applyProtection="1">
      <alignment horizontal="left" indent="2"/>
    </xf>
    <xf numFmtId="0" fontId="0" fillId="0" borderId="0" xfId="0" applyAlignment="1" applyProtection="1">
      <alignment horizontal="left" indent="8"/>
    </xf>
    <xf numFmtId="0" fontId="0" fillId="0" borderId="0" xfId="0" applyAlignment="1" applyProtection="1">
      <alignment horizontal="left" indent="5"/>
    </xf>
    <xf numFmtId="0" fontId="3" fillId="0" borderId="0" xfId="0" applyFont="1" applyProtection="1"/>
    <xf numFmtId="0" fontId="0" fillId="0" borderId="0" xfId="0" applyFont="1" applyAlignment="1" applyProtection="1">
      <alignment horizontal="left" vertical="top" wrapText="1"/>
    </xf>
    <xf numFmtId="0" fontId="0" fillId="0" borderId="0" xfId="0" applyFill="1" applyProtection="1">
      <protection locked="0"/>
    </xf>
    <xf numFmtId="170" fontId="0" fillId="0" borderId="0" xfId="1" applyNumberFormat="1" applyFont="1" applyProtection="1"/>
    <xf numFmtId="170" fontId="0" fillId="0" borderId="0" xfId="0" applyNumberFormat="1" applyProtection="1"/>
    <xf numFmtId="0" fontId="15" fillId="4" borderId="0" xfId="0" applyFont="1" applyFill="1" applyAlignment="1" applyProtection="1">
      <alignment vertical="center"/>
    </xf>
    <xf numFmtId="0" fontId="2" fillId="0" borderId="0" xfId="0" applyFont="1" applyProtection="1"/>
    <xf numFmtId="0" fontId="0" fillId="4" borderId="0" xfId="0" applyFill="1" applyProtection="1"/>
    <xf numFmtId="0" fontId="0" fillId="0" borderId="0" xfId="0" applyFill="1" applyProtection="1"/>
  </cellXfs>
  <cellStyles count="6">
    <cellStyle name="Comma" xfId="1" builtinId="3"/>
    <cellStyle name="Currency" xfId="5" builtinId="4"/>
    <cellStyle name="Hyperlink" xfId="3" builtinId="8"/>
    <cellStyle name="Normal" xfId="0" builtinId="0"/>
    <cellStyle name="Normal_5 - Reference Data" xfId="4"/>
    <cellStyle name="Percent" xfId="2" builtinId="5"/>
  </cellStyles>
  <dxfs count="0"/>
  <tableStyles count="0" defaultTableStyle="TableStyleMedium2" defaultPivotStyle="PivotStyleLight16"/>
  <colors>
    <mruColors>
      <color rgb="FFFFFFEB"/>
      <color rgb="FFFFFFF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r>
              <a:rPr lang="en-US"/>
              <a:t>Project MTCO2e </a:t>
            </a:r>
          </a:p>
        </c:rich>
      </c:tx>
      <c:layout>
        <c:manualLayout>
          <c:xMode val="edge"/>
          <c:yMode val="edge"/>
          <c:x val="0.38443656736049531"/>
          <c:y val="3.6638832102274491E-2"/>
        </c:manualLayout>
      </c:layout>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'Emission Reduction Estimates'!$J$25</c:f>
              <c:strCache>
                <c:ptCount val="1"/>
                <c:pt idx="0">
                  <c:v>Baseline annual emissions (before)</c:v>
                </c:pt>
              </c:strCache>
            </c:strRef>
          </c:tx>
          <c:spPr>
            <a:ln w="28575" cap="rnd">
              <a:solidFill>
                <a:schemeClr val="accent1"/>
              </a:solidFill>
              <a:round/>
            </a:ln>
            <a:effectLst/>
          </c:spPr>
          <c:marker>
            <c:symbol val="none"/>
          </c:marker>
          <c:cat>
            <c:numRef>
              <c:f>'Emission Reduction Estimates'!$K$24:$T$24</c:f>
              <c:numCache>
                <c:formatCode>0</c:formatCode>
                <c:ptCount val="10"/>
                <c:pt idx="0">
                  <c:v>2024</c:v>
                </c:pt>
                <c:pt idx="1">
                  <c:v>2025</c:v>
                </c:pt>
                <c:pt idx="2">
                  <c:v>2026</c:v>
                </c:pt>
                <c:pt idx="3">
                  <c:v>2027</c:v>
                </c:pt>
                <c:pt idx="4">
                  <c:v>2028</c:v>
                </c:pt>
                <c:pt idx="5">
                  <c:v>2029</c:v>
                </c:pt>
                <c:pt idx="6">
                  <c:v>2030</c:v>
                </c:pt>
                <c:pt idx="7">
                  <c:v>2031</c:v>
                </c:pt>
                <c:pt idx="8">
                  <c:v>2032</c:v>
                </c:pt>
                <c:pt idx="9">
                  <c:v>2033</c:v>
                </c:pt>
              </c:numCache>
            </c:numRef>
          </c:cat>
          <c:val>
            <c:numRef>
              <c:f>'Emission Reduction Estimates'!$K$25:$T$25</c:f>
              <c:numCache>
                <c:formatCode>0.0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401F-444C-8A86-631E647A5234}"/>
            </c:ext>
          </c:extLst>
        </c:ser>
        <c:ser>
          <c:idx val="1"/>
          <c:order val="1"/>
          <c:tx>
            <c:strRef>
              <c:f>'Emission Reduction Estimates'!$J$26</c:f>
              <c:strCache>
                <c:ptCount val="1"/>
                <c:pt idx="0">
                  <c:v>New annual emissions level after project (after)</c:v>
                </c:pt>
              </c:strCache>
            </c:strRef>
          </c:tx>
          <c:spPr>
            <a:ln w="28575" cap="rnd">
              <a:solidFill>
                <a:schemeClr val="accent2"/>
              </a:solidFill>
              <a:round/>
            </a:ln>
            <a:effectLst/>
          </c:spPr>
          <c:marker>
            <c:symbol val="none"/>
          </c:marker>
          <c:cat>
            <c:numRef>
              <c:f>'Emission Reduction Estimates'!$K$24:$T$24</c:f>
              <c:numCache>
                <c:formatCode>0</c:formatCode>
                <c:ptCount val="10"/>
                <c:pt idx="0">
                  <c:v>2024</c:v>
                </c:pt>
                <c:pt idx="1">
                  <c:v>2025</c:v>
                </c:pt>
                <c:pt idx="2">
                  <c:v>2026</c:v>
                </c:pt>
                <c:pt idx="3">
                  <c:v>2027</c:v>
                </c:pt>
                <c:pt idx="4">
                  <c:v>2028</c:v>
                </c:pt>
                <c:pt idx="5">
                  <c:v>2029</c:v>
                </c:pt>
                <c:pt idx="6">
                  <c:v>2030</c:v>
                </c:pt>
                <c:pt idx="7">
                  <c:v>2031</c:v>
                </c:pt>
                <c:pt idx="8">
                  <c:v>2032</c:v>
                </c:pt>
                <c:pt idx="9">
                  <c:v>2033</c:v>
                </c:pt>
              </c:numCache>
            </c:numRef>
          </c:cat>
          <c:val>
            <c:numRef>
              <c:f>'Emission Reduction Estimates'!$K$26:$T$26</c:f>
              <c:numCache>
                <c:formatCode>0.0</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401F-444C-8A86-631E647A5234}"/>
            </c:ext>
          </c:extLst>
        </c:ser>
        <c:ser>
          <c:idx val="2"/>
          <c:order val="2"/>
          <c:tx>
            <c:strRef>
              <c:f>'Emission Reduction Estimates'!$J$27</c:f>
              <c:strCache>
                <c:ptCount val="1"/>
                <c:pt idx="0">
                  <c:v>Emissions avoided (cumulative)</c:v>
                </c:pt>
              </c:strCache>
            </c:strRef>
          </c:tx>
          <c:spPr>
            <a:ln w="28575" cap="rnd">
              <a:solidFill>
                <a:schemeClr val="accent3"/>
              </a:solidFill>
              <a:round/>
            </a:ln>
            <a:effectLst/>
          </c:spPr>
          <c:marker>
            <c:symbol val="none"/>
          </c:marker>
          <c:cat>
            <c:numRef>
              <c:f>'Emission Reduction Estimates'!$K$24:$T$24</c:f>
              <c:numCache>
                <c:formatCode>0</c:formatCode>
                <c:ptCount val="10"/>
                <c:pt idx="0">
                  <c:v>2024</c:v>
                </c:pt>
                <c:pt idx="1">
                  <c:v>2025</c:v>
                </c:pt>
                <c:pt idx="2">
                  <c:v>2026</c:v>
                </c:pt>
                <c:pt idx="3">
                  <c:v>2027</c:v>
                </c:pt>
                <c:pt idx="4">
                  <c:v>2028</c:v>
                </c:pt>
                <c:pt idx="5">
                  <c:v>2029</c:v>
                </c:pt>
                <c:pt idx="6">
                  <c:v>2030</c:v>
                </c:pt>
                <c:pt idx="7">
                  <c:v>2031</c:v>
                </c:pt>
                <c:pt idx="8">
                  <c:v>2032</c:v>
                </c:pt>
                <c:pt idx="9">
                  <c:v>2033</c:v>
                </c:pt>
              </c:numCache>
            </c:numRef>
          </c:cat>
          <c:val>
            <c:numRef>
              <c:f>'Emission Reduction Estimates'!$K$27:$T$27</c:f>
              <c:numCache>
                <c:formatCode>0.0</c:formatCode>
                <c:ptCount val="10"/>
                <c:pt idx="0">
                  <c:v>0</c:v>
                </c:pt>
                <c:pt idx="1">
                  <c:v>0</c:v>
                </c:pt>
                <c:pt idx="2">
                  <c:v>0</c:v>
                </c:pt>
                <c:pt idx="3">
                  <c:v>0</c:v>
                </c:pt>
                <c:pt idx="4">
                  <c:v>0</c:v>
                </c:pt>
                <c:pt idx="5">
                  <c:v>0</c:v>
                </c:pt>
                <c:pt idx="6">
                  <c:v>0</c:v>
                </c:pt>
                <c:pt idx="7">
                  <c:v>0</c:v>
                </c:pt>
                <c:pt idx="8">
                  <c:v>0</c:v>
                </c:pt>
                <c:pt idx="9">
                  <c:v>0</c:v>
                </c:pt>
              </c:numCache>
            </c:numRef>
          </c:val>
          <c:smooth val="0"/>
          <c:extLst xmlns:c15="http://schemas.microsoft.com/office/drawing/2012/chart">
            <c:ext xmlns:c16="http://schemas.microsoft.com/office/drawing/2014/chart" uri="{C3380CC4-5D6E-409C-BE32-E72D297353CC}">
              <c16:uniqueId val="{00000002-401F-444C-8A86-631E647A5234}"/>
            </c:ext>
          </c:extLst>
        </c:ser>
        <c:dLbls>
          <c:showLegendKey val="0"/>
          <c:showVal val="0"/>
          <c:showCatName val="0"/>
          <c:showSerName val="0"/>
          <c:showPercent val="0"/>
          <c:showBubbleSize val="0"/>
        </c:dLbls>
        <c:smooth val="0"/>
        <c:axId val="236429736"/>
        <c:axId val="236436296"/>
        <c:extLst/>
      </c:lineChart>
      <c:dateAx>
        <c:axId val="236429736"/>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36436296"/>
        <c:crosses val="autoZero"/>
        <c:auto val="0"/>
        <c:lblOffset val="100"/>
        <c:baseTimeUnit val="days"/>
      </c:dateAx>
      <c:valAx>
        <c:axId val="2364362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a:t>MTCO2e</a:t>
                </a:r>
              </a:p>
            </c:rich>
          </c:tx>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3642973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r>
              <a:rPr lang="en-US"/>
              <a:t>Project Cost Savings ($)</a:t>
            </a:r>
          </a:p>
        </c:rich>
      </c:tx>
      <c:layout>
        <c:manualLayout>
          <c:xMode val="edge"/>
          <c:yMode val="edge"/>
          <c:x val="0.38443656736049531"/>
          <c:y val="3.6638832102274491E-2"/>
        </c:manualLayout>
      </c:layout>
      <c:overlay val="0"/>
      <c:spPr>
        <a:noFill/>
        <a:ln>
          <a:noFill/>
        </a:ln>
        <a:effectLst/>
      </c:spPr>
      <c:txPr>
        <a:bodyPr rot="0" spcFirstLastPara="1" vertOverflow="ellipsis" vert="horz" wrap="square" anchor="ctr" anchorCtr="1"/>
        <a:lstStyle/>
        <a:p>
          <a:pPr>
            <a:defRPr sz="132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'Emission Reduction Estimates'!$J$51</c:f>
              <c:strCache>
                <c:ptCount val="1"/>
                <c:pt idx="0">
                  <c:v>Baseline cost (before)</c:v>
                </c:pt>
              </c:strCache>
            </c:strRef>
          </c:tx>
          <c:spPr>
            <a:ln w="28575" cap="rnd">
              <a:solidFill>
                <a:schemeClr val="accent1"/>
              </a:solidFill>
              <a:round/>
            </a:ln>
            <a:effectLst/>
          </c:spPr>
          <c:marker>
            <c:symbol val="none"/>
          </c:marker>
          <c:cat>
            <c:numRef>
              <c:f>'Emission Reduction Estimates'!$K$50:$T$50</c:f>
              <c:numCache>
                <c:formatCode>0</c:formatCode>
                <c:ptCount val="10"/>
                <c:pt idx="0">
                  <c:v>2024</c:v>
                </c:pt>
                <c:pt idx="1">
                  <c:v>2025</c:v>
                </c:pt>
                <c:pt idx="2">
                  <c:v>2026</c:v>
                </c:pt>
                <c:pt idx="3">
                  <c:v>2027</c:v>
                </c:pt>
                <c:pt idx="4">
                  <c:v>2028</c:v>
                </c:pt>
                <c:pt idx="5">
                  <c:v>2029</c:v>
                </c:pt>
                <c:pt idx="6">
                  <c:v>2030</c:v>
                </c:pt>
                <c:pt idx="7">
                  <c:v>2031</c:v>
                </c:pt>
                <c:pt idx="8">
                  <c:v>2032</c:v>
                </c:pt>
                <c:pt idx="9">
                  <c:v>2033</c:v>
                </c:pt>
              </c:numCache>
            </c:numRef>
          </c:cat>
          <c:val>
            <c:numRef>
              <c:f>'Emission Reduction Estimates'!$K$51:$T$51</c:f>
              <c:numCache>
                <c:formatCode>_("$"* #,##0_);_("$"* \(#,##0\);_("$"* "-"??_);_(@_)</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44E0-4A68-82D4-14CD8CA2EE76}"/>
            </c:ext>
          </c:extLst>
        </c:ser>
        <c:ser>
          <c:idx val="1"/>
          <c:order val="1"/>
          <c:tx>
            <c:strRef>
              <c:f>'Emission Reduction Estimates'!$J$52</c:f>
              <c:strCache>
                <c:ptCount val="1"/>
                <c:pt idx="0">
                  <c:v>New annual cost after project (after)</c:v>
                </c:pt>
              </c:strCache>
            </c:strRef>
          </c:tx>
          <c:spPr>
            <a:ln w="28575" cap="rnd">
              <a:solidFill>
                <a:schemeClr val="accent2"/>
              </a:solidFill>
              <a:round/>
            </a:ln>
            <a:effectLst/>
          </c:spPr>
          <c:marker>
            <c:symbol val="none"/>
          </c:marker>
          <c:cat>
            <c:numRef>
              <c:f>'Emission Reduction Estimates'!$K$50:$T$50</c:f>
              <c:numCache>
                <c:formatCode>0</c:formatCode>
                <c:ptCount val="10"/>
                <c:pt idx="0">
                  <c:v>2024</c:v>
                </c:pt>
                <c:pt idx="1">
                  <c:v>2025</c:v>
                </c:pt>
                <c:pt idx="2">
                  <c:v>2026</c:v>
                </c:pt>
                <c:pt idx="3">
                  <c:v>2027</c:v>
                </c:pt>
                <c:pt idx="4">
                  <c:v>2028</c:v>
                </c:pt>
                <c:pt idx="5">
                  <c:v>2029</c:v>
                </c:pt>
                <c:pt idx="6">
                  <c:v>2030</c:v>
                </c:pt>
                <c:pt idx="7">
                  <c:v>2031</c:v>
                </c:pt>
                <c:pt idx="8">
                  <c:v>2032</c:v>
                </c:pt>
                <c:pt idx="9">
                  <c:v>2033</c:v>
                </c:pt>
              </c:numCache>
            </c:numRef>
          </c:cat>
          <c:val>
            <c:numRef>
              <c:f>'Emission Reduction Estimates'!$K$52:$T$52</c:f>
              <c:numCache>
                <c:formatCode>_("$"* #,##0_);_("$"* \(#,##0\);_("$"* "-"??_);_(@_)</c:formatCode>
                <c:ptCount val="10"/>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44E0-4A68-82D4-14CD8CA2EE76}"/>
            </c:ext>
          </c:extLst>
        </c:ser>
        <c:ser>
          <c:idx val="2"/>
          <c:order val="2"/>
          <c:tx>
            <c:strRef>
              <c:f>'Emission Reduction Estimates'!$J$53</c:f>
              <c:strCache>
                <c:ptCount val="1"/>
                <c:pt idx="0">
                  <c:v>Cost avoided (cumulative savings)</c:v>
                </c:pt>
              </c:strCache>
            </c:strRef>
          </c:tx>
          <c:spPr>
            <a:ln w="28575" cap="rnd">
              <a:solidFill>
                <a:schemeClr val="accent3"/>
              </a:solidFill>
              <a:round/>
            </a:ln>
            <a:effectLst/>
          </c:spPr>
          <c:marker>
            <c:symbol val="none"/>
          </c:marker>
          <c:cat>
            <c:numRef>
              <c:f>'Emission Reduction Estimates'!$K$50:$T$50</c:f>
              <c:numCache>
                <c:formatCode>0</c:formatCode>
                <c:ptCount val="10"/>
                <c:pt idx="0">
                  <c:v>2024</c:v>
                </c:pt>
                <c:pt idx="1">
                  <c:v>2025</c:v>
                </c:pt>
                <c:pt idx="2">
                  <c:v>2026</c:v>
                </c:pt>
                <c:pt idx="3">
                  <c:v>2027</c:v>
                </c:pt>
                <c:pt idx="4">
                  <c:v>2028</c:v>
                </c:pt>
                <c:pt idx="5">
                  <c:v>2029</c:v>
                </c:pt>
                <c:pt idx="6">
                  <c:v>2030</c:v>
                </c:pt>
                <c:pt idx="7">
                  <c:v>2031</c:v>
                </c:pt>
                <c:pt idx="8">
                  <c:v>2032</c:v>
                </c:pt>
                <c:pt idx="9">
                  <c:v>2033</c:v>
                </c:pt>
              </c:numCache>
            </c:numRef>
          </c:cat>
          <c:val>
            <c:numRef>
              <c:f>'Emission Reduction Estimates'!$K$53:$T$53</c:f>
              <c:numCache>
                <c:formatCode>_("$"* #,##0_);_("$"* \(#,##0\);_("$"* "-"??_);_(@_)</c:formatCode>
                <c:ptCount val="10"/>
                <c:pt idx="0">
                  <c:v>0</c:v>
                </c:pt>
                <c:pt idx="1">
                  <c:v>0</c:v>
                </c:pt>
                <c:pt idx="2">
                  <c:v>0</c:v>
                </c:pt>
                <c:pt idx="3">
                  <c:v>0</c:v>
                </c:pt>
                <c:pt idx="4">
                  <c:v>0</c:v>
                </c:pt>
                <c:pt idx="5">
                  <c:v>0</c:v>
                </c:pt>
                <c:pt idx="6">
                  <c:v>0</c:v>
                </c:pt>
                <c:pt idx="7">
                  <c:v>0</c:v>
                </c:pt>
                <c:pt idx="8">
                  <c:v>0</c:v>
                </c:pt>
                <c:pt idx="9">
                  <c:v>0</c:v>
                </c:pt>
              </c:numCache>
            </c:numRef>
          </c:val>
          <c:smooth val="0"/>
          <c:extLst xmlns:c15="http://schemas.microsoft.com/office/drawing/2012/chart">
            <c:ext xmlns:c16="http://schemas.microsoft.com/office/drawing/2014/chart" uri="{C3380CC4-5D6E-409C-BE32-E72D297353CC}">
              <c16:uniqueId val="{00000002-44E0-4A68-82D4-14CD8CA2EE76}"/>
            </c:ext>
          </c:extLst>
        </c:ser>
        <c:dLbls>
          <c:showLegendKey val="0"/>
          <c:showVal val="0"/>
          <c:showCatName val="0"/>
          <c:showSerName val="0"/>
          <c:showPercent val="0"/>
          <c:showBubbleSize val="0"/>
        </c:dLbls>
        <c:smooth val="0"/>
        <c:axId val="236429736"/>
        <c:axId val="236436296"/>
        <c:extLst/>
      </c:lineChart>
      <c:dateAx>
        <c:axId val="236429736"/>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36436296"/>
        <c:crosses val="autoZero"/>
        <c:auto val="0"/>
        <c:lblOffset val="100"/>
        <c:baseTimeUnit val="days"/>
      </c:dateAx>
      <c:valAx>
        <c:axId val="2364362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a:t>MTCO2e</a:t>
                </a: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2364297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11</xdr:col>
      <xdr:colOff>0</xdr:colOff>
      <xdr:row>28</xdr:row>
      <xdr:rowOff>45378</xdr:rowOff>
    </xdr:from>
    <xdr:to>
      <xdr:col>17</xdr:col>
      <xdr:colOff>702235</xdr:colOff>
      <xdr:row>40</xdr:row>
      <xdr:rowOff>52294</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694763</xdr:colOff>
      <xdr:row>54</xdr:row>
      <xdr:rowOff>830</xdr:rowOff>
    </xdr:from>
    <xdr:to>
      <xdr:col>18</xdr:col>
      <xdr:colOff>82176</xdr:colOff>
      <xdr:row>69</xdr:row>
      <xdr:rowOff>37353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stacey.waterman-hoey@ecy.wa.gov%20%7C%20360-764-6187(c)" TargetMode="External"/><Relationship Id="rId7" Type="http://schemas.openxmlformats.org/officeDocument/2006/relationships/hyperlink" Target="http://ecyapaq/aqportal/SAGE/Default.aspx" TargetMode="External"/><Relationship Id="rId2" Type="http://schemas.openxmlformats.org/officeDocument/2006/relationships/hyperlink" Target="https://www.commerce.wa.gov/growing-the-economy/energy/state-efficiency-and-environmental-performance-seep/" TargetMode="External"/><Relationship Id="rId1" Type="http://schemas.openxmlformats.org/officeDocument/2006/relationships/hyperlink" Target="https://ecology.wa.gov/Air-Climate/Climate-change/Greenhouse-gases/Greenhouse-gas-reporting/State-agency-greenhouse-gas-reports" TargetMode="External"/><Relationship Id="rId6" Type="http://schemas.openxmlformats.org/officeDocument/2006/relationships/hyperlink" Target="https://des.wa.gov/services/facilities-leasing/energy-program/resource-conservation-management-program" TargetMode="External"/><Relationship Id="rId5" Type="http://schemas.openxmlformats.org/officeDocument/2006/relationships/hyperlink" Target="https://www.commerce.wa.gov/growing-the-economy/energy/state-efficiency-and-environmental-performance-seep/" TargetMode="External"/><Relationship Id="rId4" Type="http://schemas.openxmlformats.org/officeDocument/2006/relationships/hyperlink" Target="https://ecology.wa.gov/Air-Climate/Climate-change/Tracking-greenhouse-gases/Greenhouse-gas-reporting/State-agency-greenhouse-gas-reports"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eia.gov/dnav/pet/pet_pri_refoth_a_EPPV_PTG_dpgal_m.htm" TargetMode="External"/><Relationship Id="rId3" Type="http://schemas.openxmlformats.org/officeDocument/2006/relationships/hyperlink" Target="https://www.eia.gov/petroleum/gasdiesel/" TargetMode="External"/><Relationship Id="rId7" Type="http://schemas.openxmlformats.org/officeDocument/2006/relationships/hyperlink" Target="https://www.eia.gov/dnav/pet/hist/LeafHandler.ashx?n=PET&amp;s=EMA_EPJK_PWG_NUS_DPG&amp;f=M" TargetMode="External"/><Relationship Id="rId12" Type="http://schemas.openxmlformats.org/officeDocument/2006/relationships/comments" Target="../comments2.xml"/><Relationship Id="rId2" Type="http://schemas.openxmlformats.org/officeDocument/2006/relationships/hyperlink" Target="https://gasprices.aaa.com/?state=WA" TargetMode="External"/><Relationship Id="rId1" Type="http://schemas.openxmlformats.org/officeDocument/2006/relationships/hyperlink" Target="https://www.eia.gov/dnav/ng/ng_pri_sum_dcu_SWA_a.htm" TargetMode="External"/><Relationship Id="rId6" Type="http://schemas.openxmlformats.org/officeDocument/2006/relationships/hyperlink" Target="https://gasprices.aaa.com/?state=WA" TargetMode="External"/><Relationship Id="rId11" Type="http://schemas.openxmlformats.org/officeDocument/2006/relationships/vmlDrawing" Target="../drawings/vmlDrawing2.vml"/><Relationship Id="rId5" Type="http://schemas.openxmlformats.org/officeDocument/2006/relationships/hyperlink" Target="https://www.eia.gov/petroleum/heatingoilpropane/" TargetMode="External"/><Relationship Id="rId10" Type="http://schemas.openxmlformats.org/officeDocument/2006/relationships/printerSettings" Target="../printerSettings/printerSettings3.bin"/><Relationship Id="rId4" Type="http://schemas.openxmlformats.org/officeDocument/2006/relationships/hyperlink" Target="https://www.eia.gov/petroleum/heatingoilpropane/" TargetMode="External"/><Relationship Id="rId9" Type="http://schemas.openxmlformats.org/officeDocument/2006/relationships/hyperlink" Target="https://www.epa.gov/energy/greenhouse-gas-equivalencies-calculator" TargetMode="External"/></Relationships>
</file>

<file path=xl/worksheets/_rels/sheet4.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hyperlink" Target="https://www.epa.gov/statelocalenergy/quantifying-multiple-benefits-energy-efficiency-and-renewable-energy-guide-state" TargetMode="External"/><Relationship Id="rId7" Type="http://schemas.openxmlformats.org/officeDocument/2006/relationships/vmlDrawing" Target="../drawings/vmlDrawing3.vml"/><Relationship Id="rId2" Type="http://schemas.openxmlformats.org/officeDocument/2006/relationships/hyperlink" Target="https://www.epa.gov/avert/avert-web-edition" TargetMode="External"/><Relationship Id="rId1" Type="http://schemas.openxmlformats.org/officeDocument/2006/relationships/hyperlink" Target="https://www.epa.gov/energy/greenhouse-gas-equivalencies-calculator" TargetMode="External"/><Relationship Id="rId6" Type="http://schemas.openxmlformats.org/officeDocument/2006/relationships/drawing" Target="../drawings/drawing1.xml"/><Relationship Id="rId5" Type="http://schemas.openxmlformats.org/officeDocument/2006/relationships/printerSettings" Target="../printerSettings/printerSettings4.bin"/><Relationship Id="rId4" Type="http://schemas.openxmlformats.org/officeDocument/2006/relationships/hyperlink" Target="https://des.wa.gov/services/facilities-leasing/energy-program/resource-conservation-management-program"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epa.gov/egrid/data-explorer" TargetMode="External"/><Relationship Id="rId1" Type="http://schemas.openxmlformats.org/officeDocument/2006/relationships/hyperlink" Target="https://www.energy.gov/eere/geothermal/geothermal-heat-pumps"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tint="0.79998168889431442"/>
  </sheetPr>
  <dimension ref="A1:C45"/>
  <sheetViews>
    <sheetView showGridLines="0" tabSelected="1" zoomScaleNormal="100" workbookViewId="0"/>
  </sheetViews>
  <sheetFormatPr defaultColWidth="10.77734375" defaultRowHeight="15.6" x14ac:dyDescent="0.3"/>
  <cols>
    <col min="1" max="1" width="102.44140625" style="4" customWidth="1"/>
    <col min="3" max="16384" width="10.77734375" style="3"/>
  </cols>
  <sheetData>
    <row r="1" spans="1:3" ht="23.4" x14ac:dyDescent="0.45">
      <c r="A1" s="32" t="s">
        <v>68</v>
      </c>
    </row>
    <row r="2" spans="1:3" ht="46.8" x14ac:dyDescent="0.3">
      <c r="A2" s="5" t="s">
        <v>390</v>
      </c>
    </row>
    <row r="3" spans="1:3" ht="21" customHeight="1" x14ac:dyDescent="0.3">
      <c r="A3" s="73" t="s">
        <v>391</v>
      </c>
    </row>
    <row r="4" spans="1:3" x14ac:dyDescent="0.3">
      <c r="A4" s="237" t="s">
        <v>422</v>
      </c>
    </row>
    <row r="5" spans="1:3" ht="31.2" x14ac:dyDescent="0.3">
      <c r="A5" s="237" t="s">
        <v>423</v>
      </c>
      <c r="C5" s="210"/>
    </row>
    <row r="6" spans="1:3" x14ac:dyDescent="0.3">
      <c r="A6" s="237" t="s">
        <v>424</v>
      </c>
    </row>
    <row r="7" spans="1:3" ht="28.8" x14ac:dyDescent="0.3">
      <c r="A7" s="234" t="s">
        <v>412</v>
      </c>
    </row>
    <row r="8" spans="1:3" x14ac:dyDescent="0.3">
      <c r="A8" s="5" t="s">
        <v>426</v>
      </c>
    </row>
    <row r="9" spans="1:3" x14ac:dyDescent="0.3">
      <c r="A9" s="234" t="s">
        <v>427</v>
      </c>
    </row>
    <row r="10" spans="1:3" ht="46.8" x14ac:dyDescent="0.3">
      <c r="A10" s="5" t="s">
        <v>413</v>
      </c>
    </row>
    <row r="11" spans="1:3" x14ac:dyDescent="0.3">
      <c r="A11" s="33"/>
    </row>
    <row r="12" spans="1:3" x14ac:dyDescent="0.3">
      <c r="A12" s="5" t="s">
        <v>62</v>
      </c>
    </row>
    <row r="13" spans="1:3" x14ac:dyDescent="0.3">
      <c r="A13" s="34" t="s">
        <v>66</v>
      </c>
    </row>
    <row r="14" spans="1:3" x14ac:dyDescent="0.3">
      <c r="A14" s="34" t="s">
        <v>63</v>
      </c>
    </row>
    <row r="15" spans="1:3" x14ac:dyDescent="0.3">
      <c r="A15" s="34" t="s">
        <v>64</v>
      </c>
    </row>
    <row r="16" spans="1:3" x14ac:dyDescent="0.3">
      <c r="A16" s="34" t="s">
        <v>65</v>
      </c>
    </row>
    <row r="17" spans="1:1" x14ac:dyDescent="0.3">
      <c r="A17" s="236" t="s">
        <v>417</v>
      </c>
    </row>
    <row r="19" spans="1:1" x14ac:dyDescent="0.3">
      <c r="A19" s="28" t="s">
        <v>67</v>
      </c>
    </row>
    <row r="20" spans="1:1" ht="62.4" x14ac:dyDescent="0.3">
      <c r="A20" s="29" t="s">
        <v>57</v>
      </c>
    </row>
    <row r="21" spans="1:1" x14ac:dyDescent="0.3">
      <c r="A21" s="30" t="s">
        <v>308</v>
      </c>
    </row>
    <row r="22" spans="1:1" x14ac:dyDescent="0.3">
      <c r="A22" s="30" t="s">
        <v>309</v>
      </c>
    </row>
    <row r="23" spans="1:1" x14ac:dyDescent="0.3">
      <c r="A23" s="30" t="s">
        <v>421</v>
      </c>
    </row>
    <row r="24" spans="1:1" x14ac:dyDescent="0.3">
      <c r="A24" s="30" t="s">
        <v>310</v>
      </c>
    </row>
    <row r="25" spans="1:1" x14ac:dyDescent="0.3">
      <c r="A25" s="29"/>
    </row>
    <row r="26" spans="1:1" x14ac:dyDescent="0.3">
      <c r="A26" s="29" t="s">
        <v>415</v>
      </c>
    </row>
    <row r="27" spans="1:1" ht="31.2" x14ac:dyDescent="0.3">
      <c r="A27" s="30" t="s">
        <v>416</v>
      </c>
    </row>
    <row r="28" spans="1:1" ht="46.8" x14ac:dyDescent="0.3">
      <c r="A28" s="30" t="s">
        <v>414</v>
      </c>
    </row>
    <row r="29" spans="1:1" x14ac:dyDescent="0.3">
      <c r="A29" s="235" t="s">
        <v>59</v>
      </c>
    </row>
    <row r="30" spans="1:1" ht="31.2" x14ac:dyDescent="0.3">
      <c r="A30" s="29" t="s">
        <v>61</v>
      </c>
    </row>
    <row r="31" spans="1:1" ht="28.8" x14ac:dyDescent="0.3">
      <c r="A31" s="31" t="s">
        <v>58</v>
      </c>
    </row>
    <row r="32" spans="1:1" x14ac:dyDescent="0.3">
      <c r="A32" s="29"/>
    </row>
    <row r="33" spans="1:1" x14ac:dyDescent="0.3">
      <c r="A33" s="29" t="s">
        <v>60</v>
      </c>
    </row>
    <row r="34" spans="1:1" ht="28.8" x14ac:dyDescent="0.3">
      <c r="A34" s="31" t="s">
        <v>59</v>
      </c>
    </row>
    <row r="35" spans="1:1" x14ac:dyDescent="0.3">
      <c r="A35" s="29" t="s">
        <v>425</v>
      </c>
    </row>
    <row r="36" spans="1:1" x14ac:dyDescent="0.3">
      <c r="A36" s="238" t="s">
        <v>392</v>
      </c>
    </row>
    <row r="37" spans="1:1" x14ac:dyDescent="0.3">
      <c r="A37" s="17"/>
    </row>
    <row r="38" spans="1:1" x14ac:dyDescent="0.3">
      <c r="A38"/>
    </row>
    <row r="39" spans="1:1" x14ac:dyDescent="0.3">
      <c r="A39"/>
    </row>
    <row r="40" spans="1:1" x14ac:dyDescent="0.3">
      <c r="A40"/>
    </row>
    <row r="41" spans="1:1" x14ac:dyDescent="0.3">
      <c r="A41"/>
    </row>
    <row r="42" spans="1:1" x14ac:dyDescent="0.3">
      <c r="A42"/>
    </row>
    <row r="43" spans="1:1" x14ac:dyDescent="0.3">
      <c r="A43"/>
    </row>
    <row r="45" spans="1:1" ht="15" customHeight="1" x14ac:dyDescent="0.3"/>
  </sheetData>
  <sheetProtection algorithmName="SHA-512" hashValue="b9QxCkOV8Ba3Kn8sfARVLe9bGOeF3RKN2uJold1wIxjoGwsyrlYzXLqAB9OkqELqwYb5CxX30E0aijZ6bOv9pQ==" saltValue="dfS0wJaMtDnDbEKqbk8aAQ==" spinCount="100000" sheet="1" objects="1" scenarios="1"/>
  <hyperlinks>
    <hyperlink ref="A31" r:id="rId1"/>
    <hyperlink ref="A34" r:id="rId2"/>
    <hyperlink ref="A17" r:id="rId3"/>
    <hyperlink ref="A7" r:id="rId4"/>
    <hyperlink ref="A29" r:id="rId5"/>
    <hyperlink ref="A36" r:id="rId6"/>
    <hyperlink ref="A9" r:id="rId7"/>
  </hyperlinks>
  <pageMargins left="0.7" right="0.7" top="0.75" bottom="0.75" header="0.3" footer="0.3"/>
  <pageSetup orientation="portrait"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7" tint="0.59999389629810485"/>
  </sheetPr>
  <dimension ref="A1:M136"/>
  <sheetViews>
    <sheetView showGridLines="0" zoomScaleNormal="100" workbookViewId="0">
      <selection activeCell="C22" sqref="C22"/>
    </sheetView>
  </sheetViews>
  <sheetFormatPr defaultRowHeight="14.4" x14ac:dyDescent="0.3"/>
  <cols>
    <col min="1" max="1" width="50.88671875" style="247" customWidth="1"/>
    <col min="2" max="2" width="22.88671875" style="247" customWidth="1"/>
    <col min="3" max="3" width="13.88671875" style="247" customWidth="1"/>
    <col min="4" max="4" width="20.33203125" style="247" customWidth="1"/>
    <col min="5" max="9" width="12.5546875" style="247" customWidth="1"/>
    <col min="10" max="16384" width="8.88671875" style="247"/>
  </cols>
  <sheetData>
    <row r="1" spans="1:9" ht="23.4" x14ac:dyDescent="0.3">
      <c r="A1" s="279" t="s">
        <v>74</v>
      </c>
      <c r="B1" s="281"/>
      <c r="C1" s="281"/>
      <c r="D1" s="281"/>
      <c r="E1" s="281"/>
      <c r="F1" s="281"/>
      <c r="G1" s="281"/>
      <c r="H1" s="281"/>
      <c r="I1" s="281"/>
    </row>
    <row r="2" spans="1:9" x14ac:dyDescent="0.3">
      <c r="A2" s="280" t="s">
        <v>394</v>
      </c>
      <c r="B2" s="257"/>
      <c r="C2" s="257"/>
      <c r="D2" s="257"/>
      <c r="E2" s="257"/>
      <c r="F2" s="257"/>
      <c r="G2" s="257"/>
      <c r="H2" s="257"/>
      <c r="I2" s="257"/>
    </row>
    <row r="3" spans="1:9" x14ac:dyDescent="0.3">
      <c r="A3" s="257"/>
      <c r="B3" s="257"/>
      <c r="C3" s="257"/>
      <c r="D3" s="257"/>
      <c r="E3" s="257"/>
      <c r="F3" s="257"/>
      <c r="G3" s="257"/>
      <c r="H3" s="257"/>
      <c r="I3" s="257"/>
    </row>
    <row r="4" spans="1:9" ht="21" x14ac:dyDescent="0.3">
      <c r="A4" s="89" t="s">
        <v>5</v>
      </c>
      <c r="B4" s="18"/>
      <c r="C4" s="18"/>
      <c r="D4" s="18"/>
      <c r="E4" s="18"/>
      <c r="F4" s="18"/>
      <c r="G4" s="18"/>
      <c r="H4" s="18"/>
      <c r="I4" s="18"/>
    </row>
    <row r="5" spans="1:9" x14ac:dyDescent="0.3">
      <c r="A5" s="258" t="s">
        <v>254</v>
      </c>
      <c r="B5" s="248"/>
      <c r="C5" s="257"/>
      <c r="D5" s="257"/>
      <c r="E5" s="257"/>
      <c r="F5" s="257"/>
      <c r="G5" s="257"/>
      <c r="H5" s="257"/>
      <c r="I5" s="257"/>
    </row>
    <row r="6" spans="1:9" x14ac:dyDescent="0.3">
      <c r="A6" s="258" t="s">
        <v>164</v>
      </c>
      <c r="B6" s="249">
        <f ca="1">TODAY()</f>
        <v>44571</v>
      </c>
      <c r="C6" s="257"/>
      <c r="D6" s="257"/>
      <c r="E6" s="257"/>
      <c r="F6" s="257"/>
      <c r="G6" s="257"/>
      <c r="H6" s="257"/>
      <c r="I6" s="257"/>
    </row>
    <row r="7" spans="1:9" x14ac:dyDescent="0.3">
      <c r="A7" s="258" t="s">
        <v>270</v>
      </c>
      <c r="B7" s="248"/>
      <c r="C7" s="257"/>
      <c r="D7" s="257"/>
      <c r="E7" s="257"/>
      <c r="F7" s="257"/>
      <c r="G7" s="257"/>
      <c r="H7" s="257"/>
      <c r="I7" s="257"/>
    </row>
    <row r="8" spans="1:9" x14ac:dyDescent="0.3">
      <c r="A8" s="258" t="s">
        <v>271</v>
      </c>
      <c r="B8" s="248"/>
      <c r="C8" s="257"/>
      <c r="D8" s="257"/>
      <c r="E8" s="257"/>
      <c r="F8" s="257"/>
      <c r="G8" s="257"/>
      <c r="H8" s="257"/>
      <c r="I8" s="257"/>
    </row>
    <row r="9" spans="1:9" x14ac:dyDescent="0.3">
      <c r="A9" s="258" t="s">
        <v>272</v>
      </c>
      <c r="B9" s="248"/>
      <c r="C9" s="257"/>
      <c r="D9" s="257"/>
      <c r="E9" s="257"/>
      <c r="F9" s="257"/>
      <c r="G9" s="257"/>
      <c r="H9" s="257"/>
      <c r="I9" s="257"/>
    </row>
    <row r="10" spans="1:9" x14ac:dyDescent="0.3">
      <c r="A10" s="258" t="s">
        <v>307</v>
      </c>
      <c r="B10" s="248"/>
      <c r="C10" s="257"/>
      <c r="D10" s="257"/>
      <c r="E10" s="257"/>
      <c r="F10" s="257"/>
      <c r="G10" s="257"/>
      <c r="H10" s="257"/>
      <c r="I10" s="257"/>
    </row>
    <row r="11" spans="1:9" x14ac:dyDescent="0.3">
      <c r="A11" s="257"/>
      <c r="B11" s="257"/>
      <c r="C11" s="257"/>
      <c r="D11" s="257"/>
      <c r="E11" s="257"/>
      <c r="F11" s="257"/>
      <c r="G11" s="257"/>
      <c r="H11" s="257"/>
      <c r="I11" s="257"/>
    </row>
    <row r="12" spans="1:9" x14ac:dyDescent="0.3">
      <c r="A12" s="257"/>
      <c r="B12" s="257"/>
      <c r="C12" s="257"/>
      <c r="D12" s="257"/>
      <c r="E12" s="257"/>
      <c r="F12" s="257"/>
      <c r="G12" s="257"/>
      <c r="H12" s="257"/>
      <c r="I12" s="257"/>
    </row>
    <row r="13" spans="1:9" ht="21" x14ac:dyDescent="0.3">
      <c r="A13" s="89" t="s">
        <v>55</v>
      </c>
      <c r="B13" s="18"/>
      <c r="C13" s="18"/>
      <c r="D13" s="18"/>
      <c r="E13" s="18"/>
      <c r="F13" s="18"/>
      <c r="G13" s="18"/>
      <c r="H13" s="18"/>
      <c r="I13" s="18"/>
    </row>
    <row r="14" spans="1:9" ht="29.4" customHeight="1" x14ac:dyDescent="0.3">
      <c r="A14" s="239" t="s">
        <v>395</v>
      </c>
      <c r="B14" s="239"/>
      <c r="C14" s="239"/>
      <c r="D14" s="239"/>
      <c r="E14" s="20"/>
      <c r="F14" s="20"/>
      <c r="G14" s="20"/>
      <c r="H14" s="20"/>
      <c r="I14" s="20"/>
    </row>
    <row r="15" spans="1:9" x14ac:dyDescent="0.3">
      <c r="A15" s="257"/>
      <c r="B15" s="257"/>
      <c r="C15" s="257"/>
      <c r="D15" s="257"/>
      <c r="E15" s="257"/>
      <c r="F15" s="257"/>
      <c r="G15" s="257"/>
      <c r="H15" s="257"/>
      <c r="I15" s="257"/>
    </row>
    <row r="16" spans="1:9" ht="15.6" x14ac:dyDescent="0.3">
      <c r="A16" s="259" t="s">
        <v>284</v>
      </c>
      <c r="B16" s="260"/>
      <c r="C16" s="257"/>
      <c r="D16" s="257"/>
      <c r="E16" s="257"/>
      <c r="F16" s="257"/>
      <c r="G16" s="257"/>
      <c r="H16" s="257"/>
      <c r="I16" s="257"/>
    </row>
    <row r="17" spans="1:9" x14ac:dyDescent="0.3">
      <c r="A17" s="261" t="s">
        <v>0</v>
      </c>
      <c r="B17" s="250"/>
      <c r="C17" s="257"/>
      <c r="D17" s="262" t="s">
        <v>396</v>
      </c>
      <c r="E17" s="251"/>
      <c r="F17" s="251"/>
      <c r="G17" s="251"/>
      <c r="H17" s="251"/>
      <c r="I17" s="251"/>
    </row>
    <row r="18" spans="1:9" x14ac:dyDescent="0.3">
      <c r="A18" s="261" t="s">
        <v>1</v>
      </c>
      <c r="B18" s="250"/>
      <c r="C18" s="257"/>
      <c r="D18" s="262"/>
      <c r="E18" s="251"/>
      <c r="F18" s="251"/>
      <c r="G18" s="251"/>
      <c r="H18" s="251"/>
      <c r="I18" s="251"/>
    </row>
    <row r="19" spans="1:9" x14ac:dyDescent="0.3">
      <c r="A19" s="261" t="s">
        <v>3</v>
      </c>
      <c r="B19" s="250"/>
      <c r="C19" s="257"/>
      <c r="D19" s="257"/>
      <c r="E19" s="251"/>
      <c r="F19" s="251"/>
      <c r="G19" s="251"/>
      <c r="H19" s="251"/>
      <c r="I19" s="251"/>
    </row>
    <row r="20" spans="1:9" x14ac:dyDescent="0.3">
      <c r="A20" s="261" t="s">
        <v>4</v>
      </c>
      <c r="B20" s="250"/>
      <c r="C20" s="257"/>
      <c r="D20" s="257"/>
      <c r="E20" s="251"/>
      <c r="F20" s="251"/>
      <c r="G20" s="251"/>
      <c r="H20" s="251"/>
      <c r="I20" s="251"/>
    </row>
    <row r="21" spans="1:9" x14ac:dyDescent="0.3">
      <c r="A21" s="263" t="s">
        <v>255</v>
      </c>
      <c r="B21" s="264">
        <f>SUM(B17:B20)</f>
        <v>0</v>
      </c>
      <c r="C21" s="257"/>
      <c r="D21" s="257"/>
      <c r="E21" s="257"/>
      <c r="F21" s="257"/>
      <c r="G21" s="257"/>
      <c r="H21" s="257"/>
      <c r="I21" s="257"/>
    </row>
    <row r="22" spans="1:9" x14ac:dyDescent="0.3">
      <c r="A22" s="257"/>
      <c r="B22" s="257"/>
      <c r="C22" s="257"/>
      <c r="D22" s="257"/>
      <c r="E22" s="257"/>
      <c r="F22" s="257"/>
      <c r="G22" s="257"/>
      <c r="H22" s="257"/>
      <c r="I22" s="257"/>
    </row>
    <row r="23" spans="1:9" ht="15.6" x14ac:dyDescent="0.3">
      <c r="A23" s="265" t="s">
        <v>289</v>
      </c>
      <c r="B23" s="257"/>
      <c r="C23" s="257"/>
      <c r="D23" s="257"/>
      <c r="E23" s="257"/>
      <c r="F23" s="257"/>
      <c r="G23" s="257"/>
      <c r="H23" s="257"/>
      <c r="I23" s="257"/>
    </row>
    <row r="24" spans="1:9" x14ac:dyDescent="0.3">
      <c r="A24" s="266"/>
      <c r="B24" s="257"/>
      <c r="C24" s="257"/>
      <c r="D24" s="257"/>
      <c r="E24" s="257"/>
      <c r="F24" s="257"/>
      <c r="G24" s="257"/>
      <c r="H24" s="257"/>
      <c r="I24" s="257"/>
    </row>
    <row r="25" spans="1:9" x14ac:dyDescent="0.3">
      <c r="A25" s="267" t="s">
        <v>285</v>
      </c>
      <c r="B25" s="257"/>
      <c r="C25" s="257"/>
      <c r="D25" s="257"/>
      <c r="E25" s="257"/>
      <c r="F25" s="257"/>
      <c r="G25" s="257"/>
      <c r="H25" s="257"/>
      <c r="I25" s="257"/>
    </row>
    <row r="26" spans="1:9" x14ac:dyDescent="0.3">
      <c r="A26" s="257"/>
      <c r="B26" s="268" t="s">
        <v>75</v>
      </c>
      <c r="C26" s="257"/>
      <c r="D26" s="257"/>
      <c r="E26" s="257"/>
      <c r="F26" s="257"/>
      <c r="G26" s="257"/>
      <c r="H26" s="257"/>
      <c r="I26" s="257"/>
    </row>
    <row r="27" spans="1:9" x14ac:dyDescent="0.3">
      <c r="A27" s="269" t="s">
        <v>305</v>
      </c>
      <c r="B27" s="252"/>
      <c r="C27" s="257"/>
      <c r="D27" s="257"/>
      <c r="E27" s="257"/>
      <c r="F27" s="257"/>
      <c r="G27" s="257"/>
      <c r="H27" s="257"/>
      <c r="I27" s="257"/>
    </row>
    <row r="28" spans="1:9" x14ac:dyDescent="0.3">
      <c r="A28" s="266"/>
      <c r="B28" s="257"/>
      <c r="C28" s="257"/>
      <c r="D28" s="257"/>
      <c r="E28" s="257"/>
      <c r="F28" s="257"/>
      <c r="G28" s="257"/>
      <c r="H28" s="257"/>
      <c r="I28" s="257"/>
    </row>
    <row r="29" spans="1:9" x14ac:dyDescent="0.3">
      <c r="A29" s="267" t="s">
        <v>250</v>
      </c>
      <c r="B29" s="270"/>
      <c r="C29" s="257"/>
      <c r="D29" s="257"/>
      <c r="E29" s="257"/>
      <c r="F29" s="257"/>
      <c r="G29" s="257"/>
      <c r="H29" s="257"/>
      <c r="I29" s="257"/>
    </row>
    <row r="30" spans="1:9" x14ac:dyDescent="0.3">
      <c r="A30" s="271"/>
      <c r="B30" s="257"/>
      <c r="C30" s="257"/>
      <c r="D30" s="257"/>
      <c r="E30" s="257"/>
      <c r="F30" s="257"/>
      <c r="G30" s="257"/>
      <c r="H30" s="257"/>
      <c r="I30" s="257"/>
    </row>
    <row r="31" spans="1:9" x14ac:dyDescent="0.3">
      <c r="A31" s="269" t="s">
        <v>275</v>
      </c>
      <c r="B31" s="252"/>
      <c r="C31" s="257"/>
      <c r="D31" s="257"/>
      <c r="E31" s="257"/>
      <c r="F31" s="257"/>
      <c r="G31" s="257"/>
      <c r="H31" s="257"/>
      <c r="I31" s="257"/>
    </row>
    <row r="32" spans="1:9" x14ac:dyDescent="0.3">
      <c r="A32" s="272"/>
      <c r="B32" s="257"/>
      <c r="C32" s="257"/>
      <c r="D32" s="257"/>
      <c r="E32" s="257"/>
      <c r="F32" s="257"/>
      <c r="G32" s="257"/>
      <c r="H32" s="257"/>
      <c r="I32" s="257"/>
    </row>
    <row r="33" spans="1:9" x14ac:dyDescent="0.3">
      <c r="A33" s="267" t="s">
        <v>281</v>
      </c>
      <c r="B33" s="257"/>
      <c r="C33" s="257"/>
      <c r="D33" s="257"/>
      <c r="E33" s="257"/>
      <c r="F33" s="257"/>
      <c r="G33" s="257"/>
      <c r="H33" s="257"/>
      <c r="I33" s="257"/>
    </row>
    <row r="34" spans="1:9" ht="60.6" customHeight="1" x14ac:dyDescent="0.3">
      <c r="A34" s="269" t="s">
        <v>385</v>
      </c>
      <c r="B34" s="252"/>
      <c r="C34" s="257"/>
      <c r="D34" s="262" t="s">
        <v>382</v>
      </c>
      <c r="E34" s="253"/>
      <c r="F34" s="253"/>
      <c r="G34" s="253"/>
      <c r="H34" s="253"/>
      <c r="I34" s="253"/>
    </row>
    <row r="35" spans="1:9" x14ac:dyDescent="0.3">
      <c r="A35" s="272"/>
      <c r="B35" s="257"/>
      <c r="C35" s="257"/>
      <c r="D35" s="262"/>
      <c r="E35" s="257"/>
      <c r="F35" s="257"/>
      <c r="G35" s="257"/>
      <c r="H35" s="257"/>
      <c r="I35" s="257"/>
    </row>
    <row r="36" spans="1:9" x14ac:dyDescent="0.3">
      <c r="A36" s="257"/>
      <c r="B36" s="257"/>
      <c r="C36" s="257"/>
      <c r="D36" s="262"/>
      <c r="E36" s="257"/>
      <c r="F36" s="257"/>
      <c r="G36" s="257"/>
      <c r="H36" s="257"/>
      <c r="I36" s="257"/>
    </row>
    <row r="37" spans="1:9" ht="15.6" x14ac:dyDescent="0.3">
      <c r="A37" s="265" t="s">
        <v>290</v>
      </c>
      <c r="B37" s="257"/>
      <c r="C37" s="257"/>
      <c r="D37" s="257"/>
      <c r="E37" s="257"/>
      <c r="F37" s="257"/>
      <c r="G37" s="257"/>
      <c r="H37" s="257"/>
      <c r="I37" s="257"/>
    </row>
    <row r="38" spans="1:9" x14ac:dyDescent="0.3">
      <c r="A38" s="267" t="s">
        <v>282</v>
      </c>
      <c r="B38" s="257"/>
      <c r="C38" s="257"/>
      <c r="D38" s="257"/>
      <c r="E38" s="257"/>
      <c r="F38" s="257"/>
      <c r="G38" s="257"/>
      <c r="H38" s="257"/>
      <c r="I38" s="257"/>
    </row>
    <row r="39" spans="1:9" x14ac:dyDescent="0.3">
      <c r="A39" s="268" t="s">
        <v>7</v>
      </c>
      <c r="B39" s="268" t="s">
        <v>76</v>
      </c>
      <c r="C39" s="257"/>
      <c r="D39" s="257"/>
      <c r="E39" s="257"/>
      <c r="F39" s="257"/>
      <c r="G39" s="257"/>
      <c r="H39" s="257"/>
      <c r="I39" s="257"/>
    </row>
    <row r="40" spans="1:9" x14ac:dyDescent="0.3">
      <c r="A40" s="273" t="s">
        <v>8</v>
      </c>
      <c r="B40" s="252"/>
      <c r="C40" s="257"/>
      <c r="D40" s="257"/>
      <c r="E40" s="257"/>
      <c r="F40" s="257"/>
      <c r="G40" s="257"/>
      <c r="H40" s="257"/>
      <c r="I40" s="257"/>
    </row>
    <row r="41" spans="1:9" x14ac:dyDescent="0.3">
      <c r="A41" s="273" t="s">
        <v>9</v>
      </c>
      <c r="B41" s="252"/>
      <c r="C41" s="257"/>
      <c r="D41" s="257"/>
      <c r="E41" s="257"/>
      <c r="F41" s="257"/>
      <c r="G41" s="257"/>
      <c r="H41" s="257"/>
      <c r="I41" s="257"/>
    </row>
    <row r="42" spans="1:9" x14ac:dyDescent="0.3">
      <c r="A42" s="273" t="s">
        <v>10</v>
      </c>
      <c r="B42" s="252"/>
      <c r="C42" s="257"/>
      <c r="D42" s="257"/>
      <c r="E42" s="257"/>
      <c r="F42" s="257"/>
      <c r="G42" s="257"/>
      <c r="H42" s="257"/>
      <c r="I42" s="257"/>
    </row>
    <row r="43" spans="1:9" x14ac:dyDescent="0.3">
      <c r="A43" s="273" t="s">
        <v>11</v>
      </c>
      <c r="B43" s="252"/>
      <c r="C43" s="257"/>
      <c r="D43" s="257"/>
      <c r="E43" s="257"/>
      <c r="F43" s="257"/>
      <c r="G43" s="257"/>
      <c r="H43" s="257"/>
      <c r="I43" s="257"/>
    </row>
    <row r="44" spans="1:9" x14ac:dyDescent="0.3">
      <c r="A44" s="273" t="s">
        <v>12</v>
      </c>
      <c r="B44" s="252"/>
      <c r="C44" s="257"/>
      <c r="D44" s="257"/>
      <c r="E44" s="257"/>
      <c r="F44" s="257"/>
      <c r="G44" s="257"/>
      <c r="H44" s="257"/>
      <c r="I44" s="257"/>
    </row>
    <row r="45" spans="1:9" x14ac:dyDescent="0.3">
      <c r="A45" s="257"/>
      <c r="B45" s="257"/>
      <c r="C45" s="257"/>
      <c r="D45" s="257"/>
      <c r="E45" s="257"/>
      <c r="F45" s="257"/>
      <c r="G45" s="257"/>
      <c r="H45" s="257"/>
      <c r="I45" s="257"/>
    </row>
    <row r="46" spans="1:9" x14ac:dyDescent="0.3">
      <c r="A46" s="267" t="s">
        <v>283</v>
      </c>
      <c r="B46" s="257"/>
      <c r="C46" s="257"/>
      <c r="D46" s="257"/>
      <c r="E46" s="257"/>
      <c r="F46" s="257"/>
      <c r="G46" s="257"/>
      <c r="H46" s="257"/>
      <c r="I46" s="257"/>
    </row>
    <row r="47" spans="1:9" ht="57.6" customHeight="1" x14ac:dyDescent="0.3">
      <c r="A47" s="269" t="s">
        <v>291</v>
      </c>
      <c r="B47" s="252"/>
      <c r="C47" s="257"/>
      <c r="D47" s="262" t="s">
        <v>383</v>
      </c>
      <c r="E47" s="253"/>
      <c r="F47" s="253"/>
      <c r="G47" s="253"/>
      <c r="H47" s="253"/>
      <c r="I47" s="253"/>
    </row>
    <row r="48" spans="1:9" x14ac:dyDescent="0.3">
      <c r="A48" s="273"/>
      <c r="B48" s="257"/>
      <c r="C48" s="257"/>
      <c r="D48" s="262"/>
      <c r="E48" s="257"/>
      <c r="F48" s="257"/>
      <c r="G48" s="257"/>
      <c r="H48" s="257"/>
      <c r="I48" s="257"/>
    </row>
    <row r="49" spans="1:9" x14ac:dyDescent="0.3">
      <c r="A49" s="267" t="s">
        <v>276</v>
      </c>
      <c r="B49" s="257"/>
      <c r="C49" s="257"/>
      <c r="D49" s="262"/>
      <c r="E49" s="257"/>
      <c r="F49" s="257"/>
      <c r="G49" s="257"/>
      <c r="H49" s="257"/>
      <c r="I49" s="257"/>
    </row>
    <row r="50" spans="1:9" x14ac:dyDescent="0.3">
      <c r="A50" s="273" t="s">
        <v>249</v>
      </c>
      <c r="B50" s="252"/>
      <c r="C50" s="257"/>
      <c r="D50" s="262"/>
      <c r="E50" s="257"/>
      <c r="F50" s="257"/>
      <c r="G50" s="257"/>
      <c r="H50" s="257"/>
      <c r="I50" s="257"/>
    </row>
    <row r="51" spans="1:9" x14ac:dyDescent="0.3">
      <c r="A51" s="273"/>
      <c r="B51" s="257"/>
      <c r="C51" s="257"/>
      <c r="D51" s="257"/>
      <c r="E51" s="257"/>
      <c r="F51" s="257"/>
      <c r="G51" s="257"/>
      <c r="H51" s="257"/>
      <c r="I51" s="257"/>
    </row>
    <row r="52" spans="1:9" x14ac:dyDescent="0.3">
      <c r="A52" s="257"/>
      <c r="B52" s="257"/>
      <c r="C52" s="257"/>
      <c r="D52" s="257"/>
      <c r="E52" s="257"/>
      <c r="F52" s="257"/>
      <c r="G52" s="257"/>
      <c r="H52" s="257"/>
      <c r="I52" s="257"/>
    </row>
    <row r="53" spans="1:9" x14ac:dyDescent="0.3">
      <c r="A53" s="257"/>
      <c r="B53" s="257"/>
      <c r="C53" s="257"/>
      <c r="D53" s="257"/>
      <c r="E53" s="257"/>
      <c r="F53" s="257"/>
      <c r="G53" s="257"/>
      <c r="H53" s="257"/>
      <c r="I53" s="257"/>
    </row>
    <row r="54" spans="1:9" ht="21" x14ac:dyDescent="0.3">
      <c r="A54" s="89" t="s">
        <v>56</v>
      </c>
      <c r="B54" s="19" t="s">
        <v>2</v>
      </c>
      <c r="C54" s="19" t="s">
        <v>2</v>
      </c>
      <c r="D54" s="19" t="s">
        <v>2</v>
      </c>
      <c r="E54" s="19" t="s">
        <v>2</v>
      </c>
      <c r="F54" s="19" t="s">
        <v>2</v>
      </c>
      <c r="G54" s="19" t="s">
        <v>2</v>
      </c>
      <c r="H54" s="19" t="s">
        <v>2</v>
      </c>
      <c r="I54" s="19" t="s">
        <v>2</v>
      </c>
    </row>
    <row r="55" spans="1:9" x14ac:dyDescent="0.3">
      <c r="A55" s="239" t="s">
        <v>397</v>
      </c>
      <c r="B55" s="239"/>
      <c r="C55" s="239"/>
      <c r="D55" s="239"/>
      <c r="E55" s="239"/>
      <c r="F55" s="239"/>
      <c r="G55" s="20"/>
      <c r="H55" s="20"/>
      <c r="I55" s="20"/>
    </row>
    <row r="56" spans="1:9" x14ac:dyDescent="0.3">
      <c r="A56" s="274" t="s">
        <v>288</v>
      </c>
      <c r="B56" s="257" t="s">
        <v>2</v>
      </c>
      <c r="C56" s="257"/>
      <c r="D56" s="257"/>
      <c r="E56" s="257"/>
      <c r="F56" s="257"/>
      <c r="G56" s="257"/>
      <c r="H56" s="257"/>
      <c r="I56" s="257"/>
    </row>
    <row r="57" spans="1:9" x14ac:dyDescent="0.3">
      <c r="A57" s="267" t="s">
        <v>13</v>
      </c>
      <c r="B57" s="257"/>
      <c r="C57" s="257" t="s">
        <v>398</v>
      </c>
      <c r="D57" s="257"/>
      <c r="E57" s="257"/>
      <c r="F57" s="257"/>
      <c r="G57" s="257"/>
      <c r="H57" s="257"/>
      <c r="I57" s="257"/>
    </row>
    <row r="58" spans="1:9" x14ac:dyDescent="0.3">
      <c r="A58" s="268" t="s">
        <v>7</v>
      </c>
      <c r="B58" s="268" t="s">
        <v>14</v>
      </c>
      <c r="C58" s="268" t="s">
        <v>15</v>
      </c>
      <c r="D58" s="257"/>
      <c r="E58" s="257"/>
      <c r="F58" s="257"/>
      <c r="G58" s="257"/>
      <c r="H58" s="257"/>
      <c r="I58" s="257"/>
    </row>
    <row r="59" spans="1:9" x14ac:dyDescent="0.3">
      <c r="A59" s="273" t="s">
        <v>16</v>
      </c>
      <c r="B59" s="252"/>
      <c r="C59" s="254">
        <v>0</v>
      </c>
      <c r="D59" s="257"/>
      <c r="E59" s="257"/>
      <c r="F59" s="257"/>
      <c r="G59" s="257"/>
      <c r="H59" s="257"/>
      <c r="I59" s="257"/>
    </row>
    <row r="60" spans="1:9" x14ac:dyDescent="0.3">
      <c r="A60" s="273" t="s">
        <v>17</v>
      </c>
      <c r="B60" s="252"/>
      <c r="C60" s="254">
        <v>0</v>
      </c>
      <c r="D60" s="257"/>
      <c r="E60" s="257"/>
      <c r="F60" s="257"/>
      <c r="G60" s="257"/>
      <c r="H60" s="257"/>
      <c r="I60" s="257"/>
    </row>
    <row r="61" spans="1:9" x14ac:dyDescent="0.3">
      <c r="A61" s="273" t="s">
        <v>18</v>
      </c>
      <c r="B61" s="252"/>
      <c r="C61" s="254">
        <v>0</v>
      </c>
      <c r="D61" s="257"/>
      <c r="E61" s="257"/>
      <c r="F61" s="257"/>
      <c r="G61" s="257"/>
      <c r="H61" s="257"/>
      <c r="I61" s="257"/>
    </row>
    <row r="62" spans="1:9" x14ac:dyDescent="0.3">
      <c r="A62" s="273" t="s">
        <v>19</v>
      </c>
      <c r="B62" s="252"/>
      <c r="C62" s="254">
        <v>0</v>
      </c>
      <c r="D62" s="257"/>
      <c r="E62" s="257"/>
      <c r="F62" s="257"/>
      <c r="G62" s="257"/>
      <c r="H62" s="257"/>
      <c r="I62" s="257"/>
    </row>
    <row r="63" spans="1:9" x14ac:dyDescent="0.3">
      <c r="A63" s="273" t="s">
        <v>20</v>
      </c>
      <c r="B63" s="252"/>
      <c r="C63" s="254">
        <v>0</v>
      </c>
      <c r="D63" s="257"/>
      <c r="E63" s="257"/>
      <c r="F63" s="257"/>
      <c r="G63" s="257"/>
      <c r="H63" s="257"/>
      <c r="I63" s="257"/>
    </row>
    <row r="64" spans="1:9" x14ac:dyDescent="0.3">
      <c r="A64" s="257"/>
      <c r="B64" s="257"/>
      <c r="C64" s="257"/>
      <c r="D64" s="257"/>
      <c r="E64" s="257"/>
      <c r="F64" s="257"/>
      <c r="G64" s="257"/>
      <c r="H64" s="257"/>
      <c r="I64" s="257"/>
    </row>
    <row r="65" spans="1:9" x14ac:dyDescent="0.3">
      <c r="A65" s="267" t="s">
        <v>21</v>
      </c>
      <c r="B65" s="257"/>
      <c r="C65" s="257"/>
      <c r="D65" s="257"/>
      <c r="E65" s="257"/>
      <c r="F65" s="257"/>
      <c r="G65" s="257"/>
      <c r="H65" s="257"/>
      <c r="I65" s="257"/>
    </row>
    <row r="66" spans="1:9" x14ac:dyDescent="0.3">
      <c r="A66" s="268" t="s">
        <v>7</v>
      </c>
      <c r="B66" s="268" t="s">
        <v>14</v>
      </c>
      <c r="C66" s="268" t="s">
        <v>15</v>
      </c>
      <c r="D66" s="257"/>
      <c r="E66" s="257"/>
      <c r="F66" s="257"/>
      <c r="G66" s="257"/>
      <c r="H66" s="257"/>
      <c r="I66" s="257"/>
    </row>
    <row r="67" spans="1:9" x14ac:dyDescent="0.3">
      <c r="A67" s="273" t="s">
        <v>16</v>
      </c>
      <c r="B67" s="252"/>
      <c r="C67" s="255">
        <v>0</v>
      </c>
      <c r="D67" s="257"/>
      <c r="E67" s="257"/>
      <c r="F67" s="257"/>
      <c r="G67" s="257"/>
      <c r="H67" s="257"/>
      <c r="I67" s="257"/>
    </row>
    <row r="68" spans="1:9" x14ac:dyDescent="0.3">
      <c r="A68" s="273" t="s">
        <v>22</v>
      </c>
      <c r="B68" s="252"/>
      <c r="C68" s="254">
        <v>0</v>
      </c>
      <c r="D68" s="257"/>
      <c r="E68" s="257"/>
      <c r="F68" s="257"/>
      <c r="G68" s="257"/>
      <c r="H68" s="257"/>
      <c r="I68" s="257"/>
    </row>
    <row r="69" spans="1:9" x14ac:dyDescent="0.3">
      <c r="A69" s="257"/>
      <c r="B69" s="257"/>
      <c r="C69" s="257"/>
      <c r="D69" s="257"/>
      <c r="E69" s="257"/>
      <c r="F69" s="257"/>
      <c r="G69" s="257"/>
      <c r="H69" s="257"/>
      <c r="I69" s="257"/>
    </row>
    <row r="70" spans="1:9" x14ac:dyDescent="0.3">
      <c r="A70" s="267" t="s">
        <v>23</v>
      </c>
      <c r="B70" s="257"/>
      <c r="C70" s="257"/>
      <c r="D70" s="257"/>
      <c r="E70" s="257"/>
      <c r="F70" s="257"/>
      <c r="G70" s="257"/>
      <c r="H70" s="257"/>
      <c r="I70" s="257"/>
    </row>
    <row r="71" spans="1:9" x14ac:dyDescent="0.3">
      <c r="A71" s="268" t="s">
        <v>7</v>
      </c>
      <c r="B71" s="268" t="s">
        <v>14</v>
      </c>
      <c r="C71" s="268" t="s">
        <v>15</v>
      </c>
      <c r="D71" s="257"/>
      <c r="E71" s="257"/>
      <c r="F71" s="257"/>
      <c r="G71" s="257"/>
      <c r="H71" s="257"/>
      <c r="I71" s="257"/>
    </row>
    <row r="72" spans="1:9" x14ac:dyDescent="0.3">
      <c r="A72" s="273" t="s">
        <v>22</v>
      </c>
      <c r="B72" s="252"/>
      <c r="C72" s="255">
        <v>0</v>
      </c>
      <c r="D72" s="257"/>
      <c r="E72" s="257"/>
      <c r="F72" s="257"/>
      <c r="G72" s="257"/>
      <c r="H72" s="257"/>
      <c r="I72" s="257"/>
    </row>
    <row r="73" spans="1:9" x14ac:dyDescent="0.3">
      <c r="A73" s="257"/>
      <c r="B73" s="257"/>
      <c r="C73" s="257"/>
      <c r="D73" s="257"/>
      <c r="E73" s="257"/>
      <c r="F73" s="257"/>
      <c r="G73" s="257"/>
      <c r="H73" s="257"/>
      <c r="I73" s="257"/>
    </row>
    <row r="74" spans="1:9" x14ac:dyDescent="0.3">
      <c r="A74" s="267" t="s">
        <v>24</v>
      </c>
      <c r="B74" s="257"/>
      <c r="C74" s="257"/>
      <c r="D74" s="257"/>
      <c r="E74" s="257"/>
      <c r="F74" s="257"/>
      <c r="G74" s="257"/>
      <c r="H74" s="257"/>
      <c r="I74" s="257"/>
    </row>
    <row r="75" spans="1:9" x14ac:dyDescent="0.3">
      <c r="A75" s="268" t="s">
        <v>7</v>
      </c>
      <c r="B75" s="268" t="s">
        <v>14</v>
      </c>
      <c r="C75" s="268" t="s">
        <v>15</v>
      </c>
      <c r="D75" s="257"/>
      <c r="E75" s="257"/>
      <c r="F75" s="257"/>
      <c r="G75" s="257"/>
      <c r="H75" s="257"/>
      <c r="I75" s="257"/>
    </row>
    <row r="76" spans="1:9" x14ac:dyDescent="0.3">
      <c r="A76" s="273" t="s">
        <v>25</v>
      </c>
      <c r="B76" s="252"/>
      <c r="C76" s="254">
        <v>0</v>
      </c>
      <c r="D76" s="257"/>
      <c r="E76" s="257"/>
      <c r="F76" s="257"/>
      <c r="G76" s="257"/>
      <c r="H76" s="257"/>
      <c r="I76" s="257"/>
    </row>
    <row r="77" spans="1:9" x14ac:dyDescent="0.3">
      <c r="A77" s="273" t="s">
        <v>26</v>
      </c>
      <c r="B77" s="252"/>
      <c r="C77" s="254">
        <v>0</v>
      </c>
      <c r="D77" s="257"/>
      <c r="E77" s="257"/>
      <c r="F77" s="257"/>
      <c r="G77" s="257"/>
      <c r="H77" s="257"/>
      <c r="I77" s="257"/>
    </row>
    <row r="78" spans="1:9" x14ac:dyDescent="0.3">
      <c r="A78" s="273"/>
      <c r="B78" s="257"/>
      <c r="C78" s="257"/>
      <c r="D78" s="257"/>
      <c r="E78" s="257"/>
      <c r="F78" s="257"/>
      <c r="G78" s="257"/>
      <c r="H78" s="257"/>
      <c r="I78" s="257"/>
    </row>
    <row r="79" spans="1:9" x14ac:dyDescent="0.3">
      <c r="A79" s="275" t="s">
        <v>388</v>
      </c>
      <c r="B79" s="275"/>
      <c r="C79" s="275"/>
      <c r="D79" s="275"/>
      <c r="E79" s="275"/>
      <c r="F79" s="275"/>
      <c r="G79" s="257"/>
      <c r="H79" s="257"/>
      <c r="I79" s="257"/>
    </row>
    <row r="80" spans="1:9" ht="31.8" customHeight="1" x14ac:dyDescent="0.3">
      <c r="A80" s="275"/>
      <c r="B80" s="275"/>
      <c r="C80" s="275"/>
      <c r="D80" s="275"/>
      <c r="E80" s="275"/>
      <c r="F80" s="275"/>
      <c r="G80" s="257"/>
      <c r="H80" s="257"/>
      <c r="I80" s="257"/>
    </row>
    <row r="81" spans="1:13" x14ac:dyDescent="0.3">
      <c r="A81" s="256"/>
      <c r="B81" s="256"/>
      <c r="C81" s="256"/>
      <c r="D81" s="256"/>
      <c r="E81" s="256"/>
      <c r="F81" s="256"/>
      <c r="G81" s="257"/>
      <c r="H81" s="257"/>
      <c r="I81" s="257"/>
    </row>
    <row r="82" spans="1:13" x14ac:dyDescent="0.3">
      <c r="A82" s="256"/>
      <c r="B82" s="256"/>
      <c r="C82" s="256"/>
      <c r="D82" s="256"/>
      <c r="E82" s="256"/>
      <c r="F82" s="256"/>
      <c r="G82" s="257"/>
      <c r="H82" s="257"/>
      <c r="I82" s="257"/>
    </row>
    <row r="83" spans="1:13" x14ac:dyDescent="0.3">
      <c r="A83" s="256"/>
      <c r="B83" s="256"/>
      <c r="C83" s="256"/>
      <c r="D83" s="256"/>
      <c r="E83" s="256"/>
      <c r="F83" s="256"/>
      <c r="G83" s="257"/>
      <c r="H83" s="257"/>
      <c r="I83" s="257"/>
    </row>
    <row r="84" spans="1:13" x14ac:dyDescent="0.3">
      <c r="A84" s="257"/>
      <c r="B84" s="257"/>
      <c r="C84" s="257"/>
      <c r="D84" s="257"/>
      <c r="E84" s="257"/>
      <c r="F84" s="257"/>
      <c r="G84" s="257"/>
      <c r="H84" s="257"/>
      <c r="I84" s="257"/>
    </row>
    <row r="85" spans="1:13" ht="21" x14ac:dyDescent="0.3">
      <c r="A85" s="89" t="s">
        <v>306</v>
      </c>
      <c r="B85" s="90"/>
      <c r="C85" s="22"/>
      <c r="D85" s="22"/>
      <c r="E85" s="22"/>
      <c r="F85" s="22"/>
      <c r="G85" s="22"/>
      <c r="H85" s="22"/>
      <c r="I85" s="22"/>
      <c r="J85" s="257"/>
      <c r="K85" s="257"/>
      <c r="L85" s="257"/>
      <c r="M85" s="257"/>
    </row>
    <row r="86" spans="1:13" ht="15" thickBot="1" x14ac:dyDescent="0.35">
      <c r="A86" s="257"/>
      <c r="B86" s="257"/>
      <c r="C86" s="257"/>
      <c r="D86" s="257"/>
      <c r="E86" s="257"/>
      <c r="F86" s="257"/>
      <c r="G86" s="257"/>
      <c r="H86" s="257"/>
      <c r="I86" s="257"/>
      <c r="J86" s="257"/>
      <c r="K86" s="257"/>
      <c r="L86" s="257"/>
      <c r="M86" s="257"/>
    </row>
    <row r="87" spans="1:13" ht="21" thickTop="1" x14ac:dyDescent="0.45">
      <c r="A87" s="217" t="s">
        <v>109</v>
      </c>
      <c r="B87" s="218">
        <f>E105</f>
        <v>0</v>
      </c>
      <c r="C87" s="219" t="s">
        <v>384</v>
      </c>
      <c r="D87" s="21"/>
      <c r="E87" s="21"/>
      <c r="F87" s="21"/>
      <c r="G87" s="21"/>
      <c r="H87" s="21"/>
      <c r="I87" s="257"/>
      <c r="J87" s="257"/>
      <c r="K87" s="257"/>
      <c r="L87" s="257"/>
      <c r="M87" s="257"/>
    </row>
    <row r="88" spans="1:13" ht="20.399999999999999" x14ac:dyDescent="0.45">
      <c r="A88" s="220" t="s">
        <v>110</v>
      </c>
      <c r="B88" s="206">
        <f>E124-G124</f>
        <v>0</v>
      </c>
      <c r="C88" s="221" t="s">
        <v>384</v>
      </c>
      <c r="D88" s="21"/>
      <c r="E88" s="21"/>
      <c r="F88" s="21"/>
      <c r="G88" s="21"/>
      <c r="H88" s="21"/>
      <c r="I88" s="257"/>
      <c r="J88" s="257"/>
      <c r="K88" s="257"/>
      <c r="L88" s="257"/>
      <c r="M88" s="257"/>
    </row>
    <row r="89" spans="1:13" ht="21" thickBot="1" x14ac:dyDescent="0.5">
      <c r="A89" s="222" t="s">
        <v>111</v>
      </c>
      <c r="B89" s="223">
        <f>B87+B88</f>
        <v>0</v>
      </c>
      <c r="C89" s="224" t="s">
        <v>384</v>
      </c>
      <c r="D89" s="21"/>
      <c r="E89" s="21"/>
      <c r="F89" s="21"/>
      <c r="G89" s="21"/>
      <c r="H89" s="21"/>
      <c r="I89" s="257"/>
      <c r="J89" s="257"/>
      <c r="K89" s="257"/>
      <c r="L89" s="257"/>
      <c r="M89" s="257"/>
    </row>
    <row r="90" spans="1:13" ht="15" thickTop="1" x14ac:dyDescent="0.3">
      <c r="A90" s="257"/>
      <c r="B90" s="257"/>
      <c r="C90" s="257"/>
      <c r="D90" s="257"/>
      <c r="E90" s="257"/>
      <c r="F90" s="257"/>
      <c r="G90" s="257"/>
      <c r="H90" s="257"/>
      <c r="I90" s="257"/>
      <c r="J90" s="257"/>
      <c r="K90" s="257"/>
      <c r="L90" s="257"/>
      <c r="M90" s="257"/>
    </row>
    <row r="91" spans="1:13" x14ac:dyDescent="0.3">
      <c r="A91" s="21"/>
      <c r="B91" s="21"/>
      <c r="C91" s="21"/>
      <c r="D91" s="21"/>
      <c r="E91" s="21"/>
      <c r="F91" s="21"/>
      <c r="G91" s="21"/>
      <c r="H91" s="21"/>
      <c r="I91" s="257"/>
      <c r="J91" s="257"/>
      <c r="K91" s="257"/>
      <c r="L91" s="257"/>
      <c r="M91" s="257"/>
    </row>
    <row r="92" spans="1:13" ht="18" x14ac:dyDescent="0.3">
      <c r="A92" s="95" t="s">
        <v>399</v>
      </c>
      <c r="B92" s="23" t="s">
        <v>2</v>
      </c>
      <c r="C92" s="23" t="s">
        <v>2</v>
      </c>
      <c r="D92" s="23" t="s">
        <v>2</v>
      </c>
      <c r="E92" s="23" t="s">
        <v>2</v>
      </c>
      <c r="F92" s="23" t="s">
        <v>2</v>
      </c>
      <c r="G92" s="23" t="s">
        <v>2</v>
      </c>
      <c r="H92" s="23" t="s">
        <v>2</v>
      </c>
      <c r="I92" s="23" t="s">
        <v>2</v>
      </c>
      <c r="J92" s="257"/>
      <c r="K92" s="257"/>
      <c r="L92" s="257"/>
      <c r="M92" s="257"/>
    </row>
    <row r="93" spans="1:13" ht="28.8" x14ac:dyDescent="0.3">
      <c r="A93" s="26" t="s">
        <v>6</v>
      </c>
      <c r="B93" s="27" t="s">
        <v>77</v>
      </c>
      <c r="C93" s="27" t="s">
        <v>79</v>
      </c>
      <c r="D93" s="27" t="s">
        <v>81</v>
      </c>
      <c r="E93" s="27" t="s">
        <v>83</v>
      </c>
      <c r="F93" s="21"/>
      <c r="G93" s="21"/>
      <c r="H93" s="21"/>
      <c r="I93" s="257"/>
      <c r="J93" s="257"/>
      <c r="K93" s="257"/>
      <c r="L93" s="257"/>
      <c r="M93" s="257"/>
    </row>
    <row r="94" spans="1:13" x14ac:dyDescent="0.3">
      <c r="A94" s="26"/>
      <c r="B94" s="27" t="s">
        <v>78</v>
      </c>
      <c r="C94" s="27" t="s">
        <v>80</v>
      </c>
      <c r="D94" s="27" t="s">
        <v>82</v>
      </c>
      <c r="E94" s="27" t="s">
        <v>84</v>
      </c>
      <c r="F94" s="21"/>
      <c r="G94" s="21"/>
      <c r="H94" s="21"/>
      <c r="I94" s="257"/>
      <c r="J94" s="257"/>
      <c r="K94" s="257"/>
      <c r="L94" s="257"/>
      <c r="M94" s="257"/>
    </row>
    <row r="95" spans="1:13" x14ac:dyDescent="0.3">
      <c r="A95" s="24" t="s">
        <v>27</v>
      </c>
      <c r="B95" s="78"/>
      <c r="C95" s="78"/>
      <c r="D95" s="78"/>
      <c r="E95" s="78"/>
      <c r="F95" s="21"/>
      <c r="G95" s="21"/>
      <c r="H95" s="21"/>
      <c r="I95" s="257"/>
      <c r="J95" s="257"/>
      <c r="K95" s="257"/>
      <c r="L95" s="257"/>
      <c r="M95" s="257"/>
    </row>
    <row r="96" spans="1:13" x14ac:dyDescent="0.3">
      <c r="A96" s="25" t="s">
        <v>28</v>
      </c>
      <c r="B96" s="47">
        <f>BlgNG__therms_used*NG_MTCO2_therm</f>
        <v>0</v>
      </c>
      <c r="C96" s="47">
        <f>BlgNG__therms_used*NG_MTCH4_therm</f>
        <v>0</v>
      </c>
      <c r="D96" s="47">
        <f>BlgNG__therms_used*NG_MTN2O_therms</f>
        <v>0</v>
      </c>
      <c r="E96" s="47">
        <f>B96+(C96*GWP_CH4)+(D96*GWP_N2O)</f>
        <v>0</v>
      </c>
      <c r="F96" s="21"/>
      <c r="G96" s="21"/>
      <c r="H96" s="21"/>
      <c r="I96" s="257"/>
      <c r="J96" s="257"/>
      <c r="K96" s="257"/>
      <c r="L96" s="257"/>
      <c r="M96" s="257"/>
    </row>
    <row r="97" spans="1:13" x14ac:dyDescent="0.3">
      <c r="A97" s="25" t="s">
        <v>22</v>
      </c>
      <c r="B97" s="47">
        <f>BlgDiesel__gals_used*Diesel_MTCO2_gal</f>
        <v>0</v>
      </c>
      <c r="C97" s="47">
        <f>BlgDiesel__gals_used*Diesel_MTCH4_gal</f>
        <v>0</v>
      </c>
      <c r="D97" s="47">
        <f>BlgDiesel__gals_used*Diesel_MTN2O_gal</f>
        <v>0</v>
      </c>
      <c r="E97" s="47">
        <f>B97+(C97*GWP_CH4)+(D97*GWP_N2O)</f>
        <v>0</v>
      </c>
      <c r="F97" s="21"/>
      <c r="G97" s="21" t="s">
        <v>2</v>
      </c>
      <c r="H97" s="21"/>
      <c r="I97" s="257"/>
      <c r="J97" s="257"/>
      <c r="K97" s="257"/>
      <c r="L97" s="257"/>
      <c r="M97" s="257"/>
    </row>
    <row r="98" spans="1:13" x14ac:dyDescent="0.3">
      <c r="A98" s="25" t="s">
        <v>20</v>
      </c>
      <c r="B98" s="47">
        <f>BlgPropane__gals_used*Propane_MTCO2_gal</f>
        <v>0</v>
      </c>
      <c r="C98" s="47">
        <f>BlgPropane__gals_used*Propane_MTCH4_gal</f>
        <v>0</v>
      </c>
      <c r="D98" s="47">
        <f>BlgPropane__gals_used*Propane_MTN2O_gal</f>
        <v>0</v>
      </c>
      <c r="E98" s="47">
        <f>B98+(C98*GWP_CH4)+(D98*GWP_N2O)</f>
        <v>0</v>
      </c>
      <c r="F98" s="21"/>
      <c r="G98" s="21" t="s">
        <v>2</v>
      </c>
      <c r="H98" s="21"/>
      <c r="I98" s="257"/>
      <c r="J98" s="257"/>
      <c r="K98" s="257"/>
      <c r="L98" s="257"/>
      <c r="M98" s="257"/>
    </row>
    <row r="99" spans="1:13" x14ac:dyDescent="0.3">
      <c r="A99" s="25" t="s">
        <v>29</v>
      </c>
      <c r="B99" s="47">
        <f>BlgFuelOil__gals_used*FuelOil_MTCO2_gal</f>
        <v>0</v>
      </c>
      <c r="C99" s="47">
        <f>BlgFuelOil__gals_used*FuelOil_MTCH4_gal</f>
        <v>0</v>
      </c>
      <c r="D99" s="47">
        <f>BlgFuelOil__gals_used*FuelOil_MTN2O_gal</f>
        <v>0</v>
      </c>
      <c r="E99" s="47">
        <f>B99+(C99*GWP_CH4)+(D99*GWP_N2O)</f>
        <v>0</v>
      </c>
      <c r="F99" s="21"/>
      <c r="G99" s="21"/>
      <c r="H99" s="21"/>
      <c r="I99" s="257"/>
      <c r="J99" s="257"/>
      <c r="K99" s="257"/>
      <c r="L99" s="257"/>
      <c r="M99" s="257"/>
    </row>
    <row r="100" spans="1:13" x14ac:dyDescent="0.3">
      <c r="A100" s="25" t="s">
        <v>16</v>
      </c>
      <c r="B100" s="47">
        <f>BlgGasoline__gals_used*Gasoline_MTCO2_gal</f>
        <v>0</v>
      </c>
      <c r="C100" s="47">
        <f>BlgGasoline__gals_used*Gasonline_MTCH4_gal</f>
        <v>0</v>
      </c>
      <c r="D100" s="47">
        <f>BlgGasoline__gals_used*Gasoline_MTN2O_gal</f>
        <v>0</v>
      </c>
      <c r="E100" s="47">
        <f>B100+(C100*GWP_CH4)+(D100*GWP_N2O)</f>
        <v>0</v>
      </c>
      <c r="F100" s="21"/>
      <c r="G100" s="21" t="s">
        <v>2</v>
      </c>
      <c r="H100" s="21"/>
      <c r="I100" s="257"/>
      <c r="J100" s="257"/>
      <c r="K100" s="257"/>
      <c r="L100" s="257"/>
      <c r="M100" s="257"/>
    </row>
    <row r="101" spans="1:13" x14ac:dyDescent="0.3">
      <c r="A101" s="24" t="s">
        <v>30</v>
      </c>
      <c r="B101" s="80"/>
      <c r="C101" s="80"/>
      <c r="D101" s="80"/>
      <c r="E101" s="277"/>
      <c r="F101" s="21"/>
      <c r="G101" s="21" t="s">
        <v>2</v>
      </c>
      <c r="H101" s="21"/>
      <c r="I101" s="257"/>
      <c r="J101" s="257"/>
      <c r="K101" s="257"/>
      <c r="L101" s="257"/>
      <c r="M101" s="257"/>
    </row>
    <row r="102" spans="1:13" x14ac:dyDescent="0.3">
      <c r="A102" s="25" t="s">
        <v>277</v>
      </c>
      <c r="B102" s="47">
        <f>(A__WA_State_Avg_Retail_Electricity__kWh*WA_Elect_MT_CO2_kWh)</f>
        <v>0</v>
      </c>
      <c r="C102" s="47">
        <f>A__WA_State_Avg_Retail_Electricity__kWh*Reference!F27</f>
        <v>0</v>
      </c>
      <c r="D102" s="47">
        <f>A__WA_State_Avg_Retail_Electricity__kWh*Reference!H27</f>
        <v>0</v>
      </c>
      <c r="E102" s="47">
        <f>B102+(C102*GWP_CH4)+(D102*GWP_N2O)</f>
        <v>0</v>
      </c>
      <c r="F102" s="21"/>
      <c r="G102" s="21" t="s">
        <v>2</v>
      </c>
      <c r="H102" s="21"/>
      <c r="I102" s="257"/>
      <c r="J102" s="257"/>
      <c r="K102" s="257"/>
      <c r="L102" s="257"/>
      <c r="M102" s="257"/>
    </row>
    <row r="103" spans="1:13" x14ac:dyDescent="0.3">
      <c r="A103" s="25" t="s">
        <v>311</v>
      </c>
      <c r="B103" s="47">
        <f>Purchased_Steam__klbs*Reference!D32</f>
        <v>0</v>
      </c>
      <c r="C103" s="47">
        <f>Purchased_Steam__klbs*Reference!F32</f>
        <v>0</v>
      </c>
      <c r="D103" s="47">
        <f>Purchased_Steam__klbs*Reference!H32</f>
        <v>0</v>
      </c>
      <c r="E103" s="47">
        <f>B103+(C103*GWP_CH4)+(D103*GWP_N2O)</f>
        <v>0</v>
      </c>
      <c r="F103" s="21"/>
      <c r="G103" s="21"/>
      <c r="H103" s="21"/>
      <c r="I103" s="257"/>
      <c r="J103" s="257"/>
      <c r="K103" s="257"/>
      <c r="L103" s="257"/>
      <c r="M103" s="257"/>
    </row>
    <row r="104" spans="1:13" x14ac:dyDescent="0.3">
      <c r="A104" s="257"/>
      <c r="B104" s="257"/>
      <c r="C104" s="257"/>
      <c r="D104" s="257"/>
      <c r="E104" s="257"/>
      <c r="F104" s="257"/>
      <c r="G104" s="257"/>
      <c r="H104" s="257"/>
      <c r="I104" s="257"/>
      <c r="J104" s="257"/>
      <c r="K104" s="257"/>
      <c r="L104" s="257"/>
      <c r="M104" s="257"/>
    </row>
    <row r="105" spans="1:13" ht="18" x14ac:dyDescent="0.35">
      <c r="A105" s="93" t="s">
        <v>87</v>
      </c>
      <c r="B105" s="81">
        <f>SUM(B96:B103)</f>
        <v>0</v>
      </c>
      <c r="C105" s="81">
        <f t="shared" ref="C105:E105" si="0">SUM(C96:C103)</f>
        <v>0</v>
      </c>
      <c r="D105" s="81">
        <f t="shared" si="0"/>
        <v>0</v>
      </c>
      <c r="E105" s="81">
        <f t="shared" si="0"/>
        <v>0</v>
      </c>
      <c r="F105" s="21"/>
      <c r="G105" s="21"/>
      <c r="H105" s="21"/>
      <c r="I105" s="257"/>
      <c r="J105" s="257"/>
      <c r="K105" s="257"/>
      <c r="L105" s="257"/>
      <c r="M105" s="257"/>
    </row>
    <row r="106" spans="1:13" x14ac:dyDescent="0.3">
      <c r="A106" s="21"/>
      <c r="B106" s="21"/>
      <c r="C106" s="21"/>
      <c r="D106" s="21"/>
      <c r="E106" s="21"/>
      <c r="F106" s="21"/>
      <c r="G106" s="21"/>
      <c r="H106" s="21"/>
      <c r="I106" s="257"/>
      <c r="J106" s="257"/>
      <c r="K106" s="257"/>
      <c r="L106" s="257"/>
      <c r="M106" s="257"/>
    </row>
    <row r="107" spans="1:13" ht="18" x14ac:dyDescent="0.3">
      <c r="A107" s="95" t="s">
        <v>400</v>
      </c>
      <c r="B107" s="23" t="s">
        <v>2</v>
      </c>
      <c r="C107" s="23" t="s">
        <v>2</v>
      </c>
      <c r="D107" s="23" t="s">
        <v>2</v>
      </c>
      <c r="E107" s="23" t="s">
        <v>2</v>
      </c>
      <c r="F107" s="23"/>
      <c r="G107" s="91"/>
      <c r="H107" s="23"/>
      <c r="I107" s="23"/>
      <c r="J107" s="257"/>
      <c r="K107" s="257"/>
      <c r="L107" s="257"/>
      <c r="M107" s="257"/>
    </row>
    <row r="108" spans="1:13" ht="30" x14ac:dyDescent="0.3">
      <c r="A108" s="26" t="s">
        <v>6</v>
      </c>
      <c r="B108" s="27" t="s">
        <v>77</v>
      </c>
      <c r="C108" s="27" t="s">
        <v>79</v>
      </c>
      <c r="D108" s="27" t="s">
        <v>81</v>
      </c>
      <c r="E108" s="27" t="s">
        <v>83</v>
      </c>
      <c r="F108" s="27" t="s">
        <v>85</v>
      </c>
      <c r="G108" s="27" t="s">
        <v>86</v>
      </c>
      <c r="H108" s="27" t="s">
        <v>113</v>
      </c>
      <c r="I108" s="27" t="s">
        <v>114</v>
      </c>
      <c r="J108" s="257"/>
      <c r="K108" s="257"/>
      <c r="L108" s="257"/>
      <c r="M108" s="257"/>
    </row>
    <row r="109" spans="1:13" x14ac:dyDescent="0.3">
      <c r="A109" s="26"/>
      <c r="B109" s="27" t="s">
        <v>78</v>
      </c>
      <c r="C109" s="27" t="s">
        <v>80</v>
      </c>
      <c r="D109" s="27" t="s">
        <v>82</v>
      </c>
      <c r="E109" s="27" t="s">
        <v>84</v>
      </c>
      <c r="F109" s="27" t="s">
        <v>78</v>
      </c>
      <c r="G109" s="27" t="s">
        <v>78</v>
      </c>
      <c r="H109" s="27" t="s">
        <v>112</v>
      </c>
      <c r="I109" s="27" t="s">
        <v>112</v>
      </c>
      <c r="J109" s="257"/>
      <c r="K109" s="257"/>
      <c r="L109" s="257"/>
      <c r="M109" s="257"/>
    </row>
    <row r="110" spans="1:13" x14ac:dyDescent="0.3">
      <c r="A110" s="24" t="s">
        <v>32</v>
      </c>
      <c r="B110" s="79"/>
      <c r="C110" s="79"/>
      <c r="D110" s="79"/>
      <c r="E110" s="79"/>
      <c r="F110" s="79"/>
      <c r="G110" s="79"/>
      <c r="H110" s="257"/>
      <c r="I110" s="257"/>
      <c r="J110" s="257"/>
      <c r="K110" s="257"/>
      <c r="L110" s="257"/>
      <c r="M110" s="257"/>
    </row>
    <row r="111" spans="1:13" x14ac:dyDescent="0.3">
      <c r="A111" s="25" t="s">
        <v>16</v>
      </c>
      <c r="B111" s="47">
        <f>F111+G111</f>
        <v>0</v>
      </c>
      <c r="C111" s="47">
        <f>(H111*Reference!F40)+(Report!I111*Reference!F41)</f>
        <v>0</v>
      </c>
      <c r="D111" s="47">
        <f>(H111*Reference!H40)+(H111*Reference!H41)</f>
        <v>0</v>
      </c>
      <c r="E111" s="42">
        <f>B111+(C111*GWP_CH4)+(D111*GWP_N2O)</f>
        <v>0</v>
      </c>
      <c r="F111" s="43">
        <f>H111*Reference!D40</f>
        <v>0</v>
      </c>
      <c r="G111" s="43">
        <f>I111*Reference!D41</f>
        <v>0</v>
      </c>
      <c r="H111" s="43">
        <f>MVGasoline_gas_used-(MVGasoline_gas_used*C59)</f>
        <v>0</v>
      </c>
      <c r="I111" s="43">
        <f>MVGasoline_gas_used*C59</f>
        <v>0</v>
      </c>
      <c r="J111" s="257"/>
      <c r="K111" s="257"/>
      <c r="L111" s="257"/>
      <c r="M111" s="257"/>
    </row>
    <row r="112" spans="1:13" x14ac:dyDescent="0.3">
      <c r="A112" s="25" t="s">
        <v>17</v>
      </c>
      <c r="B112" s="47">
        <f t="shared" ref="B112:B123" si="1">F112+G112</f>
        <v>0</v>
      </c>
      <c r="C112" s="47">
        <f>(H112*Reference!F42)+(Report!I112*Reference!F43)</f>
        <v>0</v>
      </c>
      <c r="D112" s="47">
        <f>(H112*Reference!H42)+(H112*Reference!H43)</f>
        <v>0</v>
      </c>
      <c r="E112" s="47">
        <f>B112+(C112*GWP_CH4)+(D112*GWP_N2O)</f>
        <v>0</v>
      </c>
      <c r="F112" s="43">
        <f>H112*Reference!D42</f>
        <v>0</v>
      </c>
      <c r="G112" s="43">
        <f>I112*Reference!D42</f>
        <v>0</v>
      </c>
      <c r="H112" s="43">
        <f>MVDieselRetail_gals_used-(MVDieselRetail_gals_used*C60)</f>
        <v>0</v>
      </c>
      <c r="I112" s="43">
        <f>MVDieselRetail_gals_used*C60</f>
        <v>0</v>
      </c>
      <c r="J112" s="257"/>
      <c r="K112" s="257"/>
      <c r="L112" s="257"/>
      <c r="M112" s="257"/>
    </row>
    <row r="113" spans="1:13" x14ac:dyDescent="0.3">
      <c r="A113" s="25" t="s">
        <v>18</v>
      </c>
      <c r="B113" s="47">
        <f t="shared" si="1"/>
        <v>0</v>
      </c>
      <c r="C113" s="47">
        <f>(H113*Reference!F42)+(Report!I113*Reference!F43)</f>
        <v>0</v>
      </c>
      <c r="D113" s="47">
        <f>(H113*Reference!H42)+(H113*Reference!H43)</f>
        <v>0</v>
      </c>
      <c r="E113" s="47">
        <f>B113+(C113*GWP_CH4)+(D113*GWP_N2O)</f>
        <v>0</v>
      </c>
      <c r="F113" s="43">
        <f>H113*Reference!D42</f>
        <v>0</v>
      </c>
      <c r="G113" s="43">
        <f>I113*B100_CO2_MT_gal</f>
        <v>0</v>
      </c>
      <c r="H113" s="43">
        <f>MVDieselWSDOT_gals_used-(MVDieselWSDOT_gals_used*C61)</f>
        <v>0</v>
      </c>
      <c r="I113" s="43">
        <f>MVDieselWSDOT_gals_used*C61</f>
        <v>0</v>
      </c>
      <c r="J113" s="257"/>
      <c r="K113" s="257"/>
      <c r="L113" s="257"/>
      <c r="M113" s="257"/>
    </row>
    <row r="114" spans="1:13" x14ac:dyDescent="0.3">
      <c r="A114" s="25" t="s">
        <v>19</v>
      </c>
      <c r="B114" s="47">
        <f t="shared" si="1"/>
        <v>0</v>
      </c>
      <c r="C114" s="47">
        <f>(H114*Reference!F42)+(Report!I114*Reference!F43)</f>
        <v>0</v>
      </c>
      <c r="D114" s="47">
        <f>(H114*Reference!H42)+(H114*Reference!H43)</f>
        <v>0</v>
      </c>
      <c r="E114" s="47">
        <f>B114+(C114*GWP_CH4)+(D114*GWP_N2O)</f>
        <v>0</v>
      </c>
      <c r="F114" s="43">
        <f>H114*Reference!D42</f>
        <v>0</v>
      </c>
      <c r="G114" s="43">
        <f>I114*Reference!D44</f>
        <v>0</v>
      </c>
      <c r="H114" s="43">
        <f>MVDieselBulk_gals_used-(MVDieselBulk_gals_used*C62)</f>
        <v>0</v>
      </c>
      <c r="I114" s="43">
        <f>MVDieselBulk_gals_used*C62</f>
        <v>0</v>
      </c>
      <c r="J114" s="257"/>
      <c r="K114" s="257"/>
      <c r="L114" s="257"/>
      <c r="M114" s="257"/>
    </row>
    <row r="115" spans="1:13" x14ac:dyDescent="0.3">
      <c r="A115" s="25" t="s">
        <v>20</v>
      </c>
      <c r="B115" s="47">
        <f t="shared" si="1"/>
        <v>0</v>
      </c>
      <c r="C115" s="47">
        <f>(H115*Reference!F44)</f>
        <v>0</v>
      </c>
      <c r="D115" s="47">
        <f>(H115*Reference!H44)</f>
        <v>0</v>
      </c>
      <c r="E115" s="47">
        <f>B115+(C115*GWP_CH4)+(D115*GWP_N2O)</f>
        <v>0</v>
      </c>
      <c r="F115" s="43">
        <f>H115*Reference!D44</f>
        <v>0</v>
      </c>
      <c r="G115" s="43"/>
      <c r="H115" s="43">
        <f>MVPropane_gals_used-(MVPropane_gals_used*C63)</f>
        <v>0</v>
      </c>
      <c r="I115" s="43">
        <f>MVPropane_gals_used*C63</f>
        <v>0</v>
      </c>
      <c r="J115" s="257"/>
      <c r="K115" s="257"/>
      <c r="L115" s="257"/>
      <c r="M115" s="257"/>
    </row>
    <row r="116" spans="1:13" x14ac:dyDescent="0.3">
      <c r="A116" s="24" t="s">
        <v>21</v>
      </c>
      <c r="B116" s="257"/>
      <c r="C116" s="257"/>
      <c r="D116" s="257"/>
      <c r="E116" s="278"/>
      <c r="F116" s="257"/>
      <c r="G116" s="257"/>
      <c r="H116" s="257"/>
      <c r="I116" s="257"/>
      <c r="J116" s="257"/>
      <c r="K116" s="257"/>
      <c r="L116" s="257"/>
      <c r="M116" s="257"/>
    </row>
    <row r="117" spans="1:13" x14ac:dyDescent="0.3">
      <c r="A117" s="25" t="s">
        <v>16</v>
      </c>
      <c r="B117" s="47">
        <f t="shared" si="1"/>
        <v>0</v>
      </c>
      <c r="C117" s="47">
        <f>(H117*Reference!F40)+(Report!I117*Reference!F41)</f>
        <v>0</v>
      </c>
      <c r="D117" s="47">
        <f>(H117*Reference!H40)+(H117*Reference!H41)</f>
        <v>0</v>
      </c>
      <c r="E117" s="47">
        <f>B117+(C117*GWP_CH4)+(D117*GWP_N2O)</f>
        <v>0</v>
      </c>
      <c r="F117" s="43">
        <f>H117*Reference!D40</f>
        <v>0</v>
      </c>
      <c r="G117" s="43">
        <f>I117*Reference!D41</f>
        <v>0</v>
      </c>
      <c r="H117" s="43">
        <f>B67-(B67*C67)</f>
        <v>0</v>
      </c>
      <c r="I117" s="43">
        <f>B67*C67</f>
        <v>0</v>
      </c>
      <c r="J117" s="257"/>
      <c r="K117" s="257"/>
      <c r="L117" s="257"/>
      <c r="M117" s="257"/>
    </row>
    <row r="118" spans="1:13" x14ac:dyDescent="0.3">
      <c r="A118" s="25" t="s">
        <v>22</v>
      </c>
      <c r="B118" s="47">
        <f t="shared" si="1"/>
        <v>0</v>
      </c>
      <c r="C118" s="47">
        <f>(H118*Reference!F42)+(Report!I118*Reference!F43)</f>
        <v>0</v>
      </c>
      <c r="D118" s="47">
        <f>(H118*Reference!H42)+(H118*Reference!H43)</f>
        <v>0</v>
      </c>
      <c r="E118" s="47">
        <f>B118+(C118*GWP_CH4)+(D118*GWP_N2O)</f>
        <v>0</v>
      </c>
      <c r="F118" s="43">
        <f>H118*Reference!D42</f>
        <v>0</v>
      </c>
      <c r="G118" s="43">
        <f>I118*B100_CO2_MT_gal</f>
        <v>0</v>
      </c>
      <c r="H118" s="43">
        <f>B68-(B68*C68)</f>
        <v>0</v>
      </c>
      <c r="I118" s="43">
        <f>B68*C68</f>
        <v>0</v>
      </c>
      <c r="J118" s="257"/>
      <c r="K118" s="257"/>
      <c r="L118" s="257"/>
      <c r="M118" s="257"/>
    </row>
    <row r="119" spans="1:13" x14ac:dyDescent="0.3">
      <c r="A119" s="24" t="s">
        <v>23</v>
      </c>
      <c r="B119" s="257"/>
      <c r="C119" s="257"/>
      <c r="D119" s="257"/>
      <c r="E119" s="278"/>
      <c r="F119" s="257"/>
      <c r="G119" s="257"/>
      <c r="H119" s="257"/>
      <c r="I119" s="257"/>
      <c r="J119" s="257"/>
      <c r="K119" s="257"/>
      <c r="L119" s="257"/>
      <c r="M119" s="257"/>
    </row>
    <row r="120" spans="1:13" s="276" customFormat="1" x14ac:dyDescent="0.3">
      <c r="A120" s="25" t="s">
        <v>22</v>
      </c>
      <c r="B120" s="47">
        <f t="shared" si="1"/>
        <v>0</v>
      </c>
      <c r="C120" s="47">
        <f>(H120*Reference!F42)*(I120*Reference!F43)</f>
        <v>0</v>
      </c>
      <c r="D120" s="47">
        <f>(H120*Reference!H42)*(I120*Reference!H43)</f>
        <v>0</v>
      </c>
      <c r="E120" s="47">
        <f>B120+(C120*GWP_CH4)+(D120*GWP_N2O)</f>
        <v>0</v>
      </c>
      <c r="F120" s="47">
        <f>H120*Reference!D42</f>
        <v>0</v>
      </c>
      <c r="G120" s="47">
        <f>I120*B100_CO2_MT_gal</f>
        <v>0</v>
      </c>
      <c r="H120" s="43">
        <f>Fleet_Diesel_Ferries_used-(Fleet_Diesel_Ferries_used*C72)</f>
        <v>0</v>
      </c>
      <c r="I120" s="43">
        <f>Fleet_Diesel_Ferries_used*C72</f>
        <v>0</v>
      </c>
      <c r="J120" s="282"/>
      <c r="K120" s="282"/>
      <c r="L120" s="282"/>
      <c r="M120" s="282"/>
    </row>
    <row r="121" spans="1:13" x14ac:dyDescent="0.3">
      <c r="A121" s="24" t="s">
        <v>24</v>
      </c>
      <c r="B121" s="257"/>
      <c r="C121" s="257"/>
      <c r="D121" s="257"/>
      <c r="E121" s="278"/>
      <c r="F121" s="257"/>
      <c r="G121" s="257"/>
      <c r="H121" s="257"/>
      <c r="I121" s="257"/>
      <c r="J121" s="257"/>
      <c r="K121" s="257"/>
      <c r="L121" s="257"/>
      <c r="M121" s="257"/>
    </row>
    <row r="122" spans="1:13" x14ac:dyDescent="0.3">
      <c r="A122" s="25" t="s">
        <v>25</v>
      </c>
      <c r="B122" s="47">
        <f t="shared" si="1"/>
        <v>0</v>
      </c>
      <c r="C122" s="47">
        <f>(H122*Reference!F45)+(I122*Reference!F41)</f>
        <v>0</v>
      </c>
      <c r="D122" s="47">
        <f>(H122*Reference!H45)+(I122*Reference!H41)</f>
        <v>0</v>
      </c>
      <c r="E122" s="47">
        <f>B122+(C122*GWP_CH4)+(D122*GWP_N2O)</f>
        <v>0</v>
      </c>
      <c r="F122" s="43">
        <f>H122*Reference!D45</f>
        <v>0</v>
      </c>
      <c r="G122" s="43"/>
      <c r="H122" s="43">
        <f>AvGas_used-(AvGas_used*C76)</f>
        <v>0</v>
      </c>
      <c r="I122" s="43">
        <f>AvGas_used*C76</f>
        <v>0</v>
      </c>
      <c r="J122" s="257"/>
      <c r="K122" s="257"/>
      <c r="L122" s="257"/>
      <c r="M122" s="257"/>
    </row>
    <row r="123" spans="1:13" x14ac:dyDescent="0.3">
      <c r="A123" s="25" t="s">
        <v>26</v>
      </c>
      <c r="B123" s="47">
        <f t="shared" si="1"/>
        <v>0</v>
      </c>
      <c r="C123" s="47">
        <f>(H123*Reference!F46)</f>
        <v>0</v>
      </c>
      <c r="D123" s="47">
        <f>(H123*Reference!H46)</f>
        <v>0</v>
      </c>
      <c r="E123" s="47">
        <f>B123+(C123*GWP_CH4)+(D123*GWP_N2O)</f>
        <v>0</v>
      </c>
      <c r="F123" s="43">
        <f>H123*Reference!D46</f>
        <v>0</v>
      </c>
      <c r="G123" s="43"/>
      <c r="H123" s="43">
        <f>B77-(B77*C77)</f>
        <v>0</v>
      </c>
      <c r="I123" s="43">
        <f>B77*C77</f>
        <v>0</v>
      </c>
      <c r="J123" s="257"/>
      <c r="K123" s="257"/>
      <c r="L123" s="257"/>
      <c r="M123" s="257"/>
    </row>
    <row r="124" spans="1:13" ht="18" x14ac:dyDescent="0.3">
      <c r="A124" s="94" t="s">
        <v>256</v>
      </c>
      <c r="B124" s="44">
        <f>SUM(B111:B123)</f>
        <v>0</v>
      </c>
      <c r="C124" s="44">
        <f t="shared" ref="C124:I124" si="2">SUM(C111:C123)</f>
        <v>0</v>
      </c>
      <c r="D124" s="44">
        <f t="shared" si="2"/>
        <v>0</v>
      </c>
      <c r="E124" s="44">
        <f t="shared" si="2"/>
        <v>0</v>
      </c>
      <c r="F124" s="44">
        <f t="shared" si="2"/>
        <v>0</v>
      </c>
      <c r="G124" s="44">
        <f t="shared" si="2"/>
        <v>0</v>
      </c>
      <c r="H124" s="44">
        <f t="shared" si="2"/>
        <v>0</v>
      </c>
      <c r="I124" s="44">
        <f t="shared" si="2"/>
        <v>0</v>
      </c>
      <c r="J124" s="257"/>
      <c r="K124" s="257"/>
      <c r="L124" s="257"/>
      <c r="M124" s="257"/>
    </row>
    <row r="125" spans="1:13" x14ac:dyDescent="0.3">
      <c r="A125" s="257"/>
      <c r="B125" s="257"/>
      <c r="C125" s="257"/>
      <c r="D125" s="257"/>
      <c r="E125" s="257"/>
      <c r="F125" s="257"/>
      <c r="G125" s="257"/>
      <c r="H125" s="257"/>
      <c r="I125" s="257"/>
      <c r="J125" s="257"/>
      <c r="K125" s="257"/>
      <c r="L125" s="257"/>
      <c r="M125" s="257"/>
    </row>
    <row r="126" spans="1:13" x14ac:dyDescent="0.3">
      <c r="A126" s="257"/>
      <c r="B126" s="257"/>
      <c r="C126" s="257"/>
      <c r="D126" s="257"/>
      <c r="E126" s="257"/>
      <c r="F126" s="257"/>
      <c r="G126" s="257"/>
      <c r="H126" s="257"/>
      <c r="I126" s="257"/>
      <c r="J126" s="257"/>
      <c r="K126" s="257"/>
      <c r="L126" s="257"/>
      <c r="M126" s="257"/>
    </row>
    <row r="127" spans="1:13" x14ac:dyDescent="0.3">
      <c r="A127" s="257"/>
      <c r="B127" s="257"/>
      <c r="C127" s="257"/>
      <c r="D127" s="257"/>
      <c r="E127" s="257"/>
      <c r="F127" s="257"/>
      <c r="G127" s="257"/>
      <c r="H127" s="257"/>
      <c r="I127" s="257"/>
      <c r="J127" s="257"/>
      <c r="K127" s="257"/>
      <c r="L127" s="257"/>
      <c r="M127" s="257"/>
    </row>
    <row r="128" spans="1:13" x14ac:dyDescent="0.3">
      <c r="A128" s="257"/>
      <c r="B128" s="257"/>
      <c r="C128" s="257"/>
      <c r="D128" s="257"/>
      <c r="E128" s="257"/>
      <c r="F128" s="257"/>
      <c r="G128" s="257"/>
      <c r="H128" s="257"/>
      <c r="I128" s="257"/>
      <c r="J128" s="257"/>
      <c r="K128" s="257"/>
      <c r="L128" s="257"/>
      <c r="M128" s="257"/>
    </row>
    <row r="129" spans="1:13" x14ac:dyDescent="0.3">
      <c r="A129" s="257"/>
      <c r="B129" s="257"/>
      <c r="C129" s="257"/>
      <c r="D129" s="257"/>
      <c r="E129" s="257"/>
      <c r="F129" s="257"/>
      <c r="G129" s="257"/>
      <c r="H129" s="257"/>
      <c r="I129" s="257"/>
      <c r="J129" s="257"/>
      <c r="K129" s="257"/>
      <c r="L129" s="257"/>
      <c r="M129" s="257"/>
    </row>
    <row r="130" spans="1:13" x14ac:dyDescent="0.3">
      <c r="A130" s="257"/>
      <c r="B130" s="257"/>
      <c r="C130" s="257"/>
      <c r="D130" s="257"/>
      <c r="E130" s="257"/>
      <c r="F130" s="257"/>
      <c r="G130" s="257"/>
      <c r="H130" s="257"/>
      <c r="I130" s="257"/>
      <c r="J130" s="257"/>
      <c r="K130" s="257"/>
      <c r="L130" s="257"/>
      <c r="M130" s="257"/>
    </row>
    <row r="131" spans="1:13" x14ac:dyDescent="0.3">
      <c r="A131" s="257"/>
      <c r="B131" s="257"/>
      <c r="C131" s="257"/>
      <c r="D131" s="257"/>
      <c r="E131" s="257"/>
      <c r="F131" s="257"/>
      <c r="G131" s="257"/>
      <c r="H131" s="257"/>
      <c r="I131" s="257"/>
      <c r="J131" s="257"/>
      <c r="K131" s="257"/>
      <c r="L131" s="257"/>
      <c r="M131" s="257"/>
    </row>
    <row r="132" spans="1:13" x14ac:dyDescent="0.3">
      <c r="A132" s="257"/>
      <c r="B132" s="257"/>
      <c r="C132" s="257"/>
      <c r="D132" s="257"/>
      <c r="E132" s="257"/>
      <c r="F132" s="257"/>
      <c r="G132" s="257"/>
      <c r="H132" s="257"/>
      <c r="I132" s="257"/>
      <c r="J132" s="257"/>
      <c r="K132" s="257"/>
      <c r="L132" s="257"/>
      <c r="M132" s="257"/>
    </row>
    <row r="133" spans="1:13" x14ac:dyDescent="0.3">
      <c r="A133" s="257"/>
      <c r="B133" s="257"/>
      <c r="C133" s="257"/>
      <c r="D133" s="257"/>
      <c r="E133" s="257"/>
      <c r="F133" s="257"/>
      <c r="G133" s="257"/>
      <c r="H133" s="257"/>
      <c r="I133" s="257"/>
      <c r="J133" s="257"/>
      <c r="K133" s="257"/>
      <c r="L133" s="257"/>
      <c r="M133" s="257"/>
    </row>
    <row r="134" spans="1:13" x14ac:dyDescent="0.3">
      <c r="A134" s="257"/>
      <c r="B134" s="257"/>
      <c r="C134" s="257"/>
      <c r="D134" s="257"/>
      <c r="E134" s="257"/>
      <c r="F134" s="257"/>
      <c r="G134" s="257"/>
      <c r="H134" s="257"/>
      <c r="I134" s="257"/>
      <c r="J134" s="257"/>
      <c r="K134" s="257"/>
      <c r="L134" s="257"/>
      <c r="M134" s="257"/>
    </row>
    <row r="135" spans="1:13" x14ac:dyDescent="0.3">
      <c r="A135" s="257"/>
      <c r="B135" s="257"/>
      <c r="C135" s="257"/>
      <c r="D135" s="257"/>
      <c r="E135" s="257"/>
      <c r="F135" s="257"/>
      <c r="G135" s="257"/>
      <c r="H135" s="257"/>
      <c r="I135" s="257"/>
      <c r="J135" s="257"/>
      <c r="K135" s="257"/>
      <c r="L135" s="257"/>
      <c r="M135" s="257"/>
    </row>
    <row r="136" spans="1:13" x14ac:dyDescent="0.3">
      <c r="A136" s="257"/>
      <c r="B136" s="257"/>
      <c r="C136" s="257"/>
      <c r="D136" s="257"/>
      <c r="E136" s="257"/>
      <c r="F136" s="257"/>
      <c r="G136" s="257"/>
      <c r="H136" s="257"/>
      <c r="I136" s="257"/>
      <c r="J136" s="257"/>
      <c r="K136" s="257"/>
      <c r="L136" s="257"/>
      <c r="M136" s="257"/>
    </row>
  </sheetData>
  <sheetProtection algorithmName="SHA-512" hashValue="+J4cbuOEq4uw0CF5o4z0douigD92f8t9ZPW9TCu1KExuUmrFMbvQa0YrJHK1dqBuih/a+yn9QQqAiib/Ud1N7g==" saltValue="yayud305Nr3K8fUEZLCcbQ==" spinCount="100000" sheet="1" objects="1" scenarios="1"/>
  <mergeCells count="10">
    <mergeCell ref="A14:D14"/>
    <mergeCell ref="A55:F55"/>
    <mergeCell ref="E34:I34"/>
    <mergeCell ref="E47:I47"/>
    <mergeCell ref="A81:F83"/>
    <mergeCell ref="A79:F80"/>
    <mergeCell ref="E17:I20"/>
    <mergeCell ref="D17:D18"/>
    <mergeCell ref="D34:D36"/>
    <mergeCell ref="D47:D50"/>
  </mergeCells>
  <pageMargins left="0.7" right="0.7" top="0.75" bottom="0.75" header="0.3" footer="0.3"/>
  <pageSetup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Agency Name" prompt="Select agency from list">
          <x14:formula1>
            <xm:f>Reference!$B$62:$B$89</xm:f>
          </x14:formula1>
          <xm:sqref>B5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5" tint="0.59999389629810485"/>
  </sheetPr>
  <dimension ref="A1:L156"/>
  <sheetViews>
    <sheetView workbookViewId="0">
      <selection activeCell="B21" sqref="B21"/>
    </sheetView>
  </sheetViews>
  <sheetFormatPr defaultColWidth="19.88671875" defaultRowHeight="15.6" x14ac:dyDescent="0.3"/>
  <cols>
    <col min="1" max="1" width="36.109375" style="10" customWidth="1"/>
    <col min="2" max="2" width="26.33203125" style="10" customWidth="1"/>
    <col min="3" max="5" width="19.88671875" style="10"/>
    <col min="6" max="6" width="22.88671875" style="10" customWidth="1"/>
    <col min="7" max="7" width="23.21875" style="10" customWidth="1"/>
    <col min="8" max="16384" width="19.88671875" style="10"/>
  </cols>
  <sheetData>
    <row r="1" spans="1:8" ht="23.4" x14ac:dyDescent="0.45">
      <c r="A1" s="59" t="s">
        <v>33</v>
      </c>
      <c r="B1" s="60" t="s">
        <v>2</v>
      </c>
      <c r="C1" s="37"/>
      <c r="D1" s="37"/>
      <c r="E1" s="37"/>
      <c r="F1" s="37"/>
      <c r="G1" s="37"/>
      <c r="H1" s="37"/>
    </row>
    <row r="2" spans="1:8" x14ac:dyDescent="0.3">
      <c r="D2" s="52"/>
    </row>
    <row r="3" spans="1:8" x14ac:dyDescent="0.3">
      <c r="A3" s="96" t="s">
        <v>34</v>
      </c>
      <c r="B3" s="96" t="s">
        <v>2</v>
      </c>
      <c r="D3" s="52"/>
      <c r="E3" s="52"/>
    </row>
    <row r="4" spans="1:8" x14ac:dyDescent="0.3">
      <c r="A4" s="10">
        <v>1000</v>
      </c>
      <c r="B4" s="10" t="s">
        <v>35</v>
      </c>
      <c r="D4" s="53"/>
      <c r="E4" s="52"/>
      <c r="F4" s="52"/>
    </row>
    <row r="5" spans="1:8" x14ac:dyDescent="0.3">
      <c r="A5" s="10">
        <v>0.1</v>
      </c>
      <c r="B5" s="10" t="s">
        <v>274</v>
      </c>
      <c r="C5" s="10" t="s">
        <v>2</v>
      </c>
      <c r="D5" s="53"/>
      <c r="E5" s="52"/>
    </row>
    <row r="6" spans="1:8" x14ac:dyDescent="0.3">
      <c r="A6" s="10">
        <v>2.2046199999999998</v>
      </c>
      <c r="B6" s="10" t="s">
        <v>36</v>
      </c>
      <c r="D6" s="57"/>
      <c r="E6" s="57"/>
    </row>
    <row r="7" spans="1:8" x14ac:dyDescent="0.3">
      <c r="A7" s="10">
        <v>42</v>
      </c>
      <c r="B7" s="10" t="s">
        <v>37</v>
      </c>
    </row>
    <row r="8" spans="1:8" x14ac:dyDescent="0.3">
      <c r="A8" s="10">
        <v>1000</v>
      </c>
      <c r="B8" s="10" t="s">
        <v>38</v>
      </c>
    </row>
    <row r="9" spans="1:8" x14ac:dyDescent="0.3">
      <c r="A9" s="10">
        <v>3.4119999999999999</v>
      </c>
      <c r="B9" s="10" t="s">
        <v>386</v>
      </c>
    </row>
    <row r="10" spans="1:8" x14ac:dyDescent="0.3">
      <c r="A10" s="10">
        <v>1.194</v>
      </c>
      <c r="B10" s="10" t="s">
        <v>39</v>
      </c>
    </row>
    <row r="11" spans="1:8" x14ac:dyDescent="0.3">
      <c r="A11" s="56"/>
    </row>
    <row r="12" spans="1:8" x14ac:dyDescent="0.3">
      <c r="A12" s="96" t="s">
        <v>40</v>
      </c>
      <c r="B12" s="96" t="s">
        <v>2</v>
      </c>
      <c r="C12" s="96" t="s">
        <v>2</v>
      </c>
      <c r="D12" s="96" t="s">
        <v>2</v>
      </c>
      <c r="E12" s="96" t="s">
        <v>2</v>
      </c>
      <c r="F12" s="96"/>
      <c r="G12" s="96" t="s">
        <v>2</v>
      </c>
      <c r="H12" s="96" t="s">
        <v>2</v>
      </c>
    </row>
    <row r="13" spans="1:8" s="16" customFormat="1" ht="18" x14ac:dyDescent="0.4">
      <c r="A13" s="98" t="s">
        <v>41</v>
      </c>
      <c r="B13" s="106"/>
      <c r="C13" s="106" t="s">
        <v>91</v>
      </c>
      <c r="D13" s="106" t="s">
        <v>91</v>
      </c>
      <c r="E13" s="106" t="s">
        <v>95</v>
      </c>
      <c r="F13" s="106" t="s">
        <v>315</v>
      </c>
      <c r="G13" s="106" t="s">
        <v>317</v>
      </c>
      <c r="H13" s="106" t="s">
        <v>100</v>
      </c>
    </row>
    <row r="14" spans="1:8" s="16" customFormat="1" x14ac:dyDescent="0.3">
      <c r="A14" s="98"/>
      <c r="B14" s="106"/>
      <c r="C14" s="107" t="s">
        <v>313</v>
      </c>
      <c r="D14" s="107" t="s">
        <v>314</v>
      </c>
      <c r="E14" s="107" t="s">
        <v>96</v>
      </c>
      <c r="F14" s="107" t="s">
        <v>316</v>
      </c>
      <c r="G14" s="107" t="s">
        <v>318</v>
      </c>
      <c r="H14" s="107" t="s">
        <v>319</v>
      </c>
    </row>
    <row r="15" spans="1:8" x14ac:dyDescent="0.3">
      <c r="A15" s="45" t="s">
        <v>28</v>
      </c>
      <c r="B15" s="108"/>
      <c r="C15" s="108">
        <v>53.06</v>
      </c>
      <c r="D15" s="109">
        <f>C15*A5/A4</f>
        <v>5.3060000000000008E-3</v>
      </c>
      <c r="E15" s="108">
        <f>1*10^-3</f>
        <v>1E-3</v>
      </c>
      <c r="F15" s="110">
        <f>E15*A5/A4</f>
        <v>1.0000000000000001E-7</v>
      </c>
      <c r="G15" s="108">
        <f>1*10^-4</f>
        <v>1E-4</v>
      </c>
      <c r="H15" s="110">
        <f>G15*A5/A4</f>
        <v>1E-8</v>
      </c>
    </row>
    <row r="16" spans="1:8" x14ac:dyDescent="0.3">
      <c r="A16" s="45"/>
      <c r="B16" s="108"/>
      <c r="C16" s="108"/>
      <c r="D16" s="109"/>
      <c r="E16" s="108"/>
      <c r="F16" s="110"/>
      <c r="G16" s="108"/>
      <c r="H16" s="110"/>
    </row>
    <row r="17" spans="1:12" s="16" customFormat="1" ht="18" x14ac:dyDescent="0.4">
      <c r="A17" s="98" t="s">
        <v>293</v>
      </c>
      <c r="B17" s="106" t="s">
        <v>320</v>
      </c>
      <c r="C17" s="106" t="s">
        <v>91</v>
      </c>
      <c r="D17" s="106" t="s">
        <v>91</v>
      </c>
      <c r="E17" s="106" t="s">
        <v>95</v>
      </c>
      <c r="F17" s="106" t="s">
        <v>95</v>
      </c>
      <c r="G17" s="106" t="s">
        <v>98</v>
      </c>
      <c r="H17" s="106" t="s">
        <v>100</v>
      </c>
    </row>
    <row r="18" spans="1:12" s="16" customFormat="1" x14ac:dyDescent="0.3">
      <c r="A18" s="98"/>
      <c r="B18" s="107" t="s">
        <v>90</v>
      </c>
      <c r="C18" s="107" t="s">
        <v>313</v>
      </c>
      <c r="D18" s="107" t="s">
        <v>94</v>
      </c>
      <c r="E18" s="107" t="s">
        <v>96</v>
      </c>
      <c r="F18" s="107" t="s">
        <v>97</v>
      </c>
      <c r="G18" s="107" t="s">
        <v>99</v>
      </c>
      <c r="H18" s="107" t="s">
        <v>101</v>
      </c>
    </row>
    <row r="19" spans="1:12" x14ac:dyDescent="0.3">
      <c r="A19" s="45" t="s">
        <v>42</v>
      </c>
      <c r="B19" s="111">
        <v>0.13800000000000001</v>
      </c>
      <c r="C19" s="111">
        <v>73.959999999999994</v>
      </c>
      <c r="D19" s="112">
        <f>B19*C19/$A$4</f>
        <v>1.0206479999999999E-2</v>
      </c>
      <c r="E19" s="111">
        <f>3*10^-3</f>
        <v>3.0000000000000001E-3</v>
      </c>
      <c r="F19" s="110">
        <f>B19*E19/$A$4</f>
        <v>4.1400000000000003E-7</v>
      </c>
      <c r="G19" s="111">
        <f>6*10^-4</f>
        <v>6.0000000000000006E-4</v>
      </c>
      <c r="H19" s="110">
        <f>B19*G19/$A$4</f>
        <v>8.2800000000000027E-8</v>
      </c>
    </row>
    <row r="20" spans="1:12" x14ac:dyDescent="0.3">
      <c r="A20" s="45" t="s">
        <v>20</v>
      </c>
      <c r="B20" s="111">
        <v>9.0999999999999998E-2</v>
      </c>
      <c r="C20" s="111">
        <v>62.87</v>
      </c>
      <c r="D20" s="112">
        <f>B20*C20/$A$4</f>
        <v>5.7211700000000002E-3</v>
      </c>
      <c r="E20" s="111">
        <f>3*10^-3</f>
        <v>3.0000000000000001E-3</v>
      </c>
      <c r="F20" s="110">
        <f>B20*E20/$A$4</f>
        <v>2.7300000000000002E-7</v>
      </c>
      <c r="G20" s="111">
        <f>6*10^-4</f>
        <v>6.0000000000000006E-4</v>
      </c>
      <c r="H20" s="110">
        <f>B20*G20/$A$4</f>
        <v>5.4600000000000006E-8</v>
      </c>
    </row>
    <row r="21" spans="1:12" x14ac:dyDescent="0.3">
      <c r="A21" s="45" t="s">
        <v>29</v>
      </c>
      <c r="B21" s="111">
        <v>0.13800000000000001</v>
      </c>
      <c r="C21" s="111">
        <v>73.959999999999994</v>
      </c>
      <c r="D21" s="112">
        <f>B21*C21/$A$4</f>
        <v>1.0206479999999999E-2</v>
      </c>
      <c r="E21" s="111">
        <f>3*10^-3</f>
        <v>3.0000000000000001E-3</v>
      </c>
      <c r="F21" s="110">
        <f>B21*E21/$A$4</f>
        <v>4.1400000000000003E-7</v>
      </c>
      <c r="G21" s="111">
        <f>6*10^-4</f>
        <v>6.0000000000000006E-4</v>
      </c>
      <c r="H21" s="110">
        <f>B21*G21/$A$4</f>
        <v>8.2800000000000027E-8</v>
      </c>
    </row>
    <row r="22" spans="1:12" x14ac:dyDescent="0.3">
      <c r="A22" s="45" t="s">
        <v>16</v>
      </c>
      <c r="B22" s="111">
        <v>0.125</v>
      </c>
      <c r="C22" s="111">
        <v>70.22</v>
      </c>
      <c r="D22" s="112">
        <f>B22*C22/$A$4</f>
        <v>8.7775000000000006E-3</v>
      </c>
      <c r="E22" s="111">
        <f>3*10^-3</f>
        <v>3.0000000000000001E-3</v>
      </c>
      <c r="F22" s="110">
        <f>B22*E22/$A$4</f>
        <v>3.7500000000000001E-7</v>
      </c>
      <c r="G22" s="111">
        <f>6*10^-4</f>
        <v>6.0000000000000006E-4</v>
      </c>
      <c r="H22" s="110">
        <f>B22*G22/$A$4</f>
        <v>7.500000000000001E-8</v>
      </c>
    </row>
    <row r="23" spans="1:12" x14ac:dyDescent="0.3">
      <c r="A23" s="103" t="s">
        <v>294</v>
      </c>
      <c r="B23" s="111" t="s">
        <v>2</v>
      </c>
      <c r="C23" s="111" t="s">
        <v>2</v>
      </c>
      <c r="D23" s="110" t="s">
        <v>2</v>
      </c>
      <c r="E23" s="110" t="s">
        <v>2</v>
      </c>
      <c r="F23" s="111" t="s">
        <v>2</v>
      </c>
      <c r="G23" s="111"/>
      <c r="H23" s="111"/>
    </row>
    <row r="24" spans="1:12" x14ac:dyDescent="0.3">
      <c r="A24" s="104"/>
      <c r="B24" s="111"/>
      <c r="C24" s="111"/>
      <c r="D24" s="111"/>
      <c r="E24" s="111"/>
      <c r="F24" s="111"/>
      <c r="G24" s="111"/>
      <c r="H24" s="111"/>
    </row>
    <row r="25" spans="1:12" ht="18" x14ac:dyDescent="0.4">
      <c r="A25" s="98" t="s">
        <v>30</v>
      </c>
      <c r="B25" s="106"/>
      <c r="C25" s="106" t="s">
        <v>93</v>
      </c>
      <c r="D25" s="106" t="s">
        <v>93</v>
      </c>
      <c r="E25" s="113" t="s">
        <v>95</v>
      </c>
      <c r="F25" s="113" t="s">
        <v>95</v>
      </c>
      <c r="G25" s="113" t="s">
        <v>98</v>
      </c>
      <c r="H25" s="113" t="s">
        <v>100</v>
      </c>
      <c r="J25" s="74"/>
      <c r="K25" s="74"/>
      <c r="L25" s="74"/>
    </row>
    <row r="26" spans="1:12" s="74" customFormat="1" ht="15.6" customHeight="1" x14ac:dyDescent="0.3">
      <c r="A26" s="105"/>
      <c r="B26" s="107"/>
      <c r="C26" s="107" t="s">
        <v>102</v>
      </c>
      <c r="D26" s="107" t="s">
        <v>103</v>
      </c>
      <c r="E26" s="107" t="s">
        <v>104</v>
      </c>
      <c r="F26" s="107" t="s">
        <v>105</v>
      </c>
      <c r="G26" s="107" t="s">
        <v>106</v>
      </c>
      <c r="H26" s="107" t="s">
        <v>107</v>
      </c>
    </row>
    <row r="27" spans="1:12" x14ac:dyDescent="0.3">
      <c r="A27" s="10" t="s">
        <v>292</v>
      </c>
      <c r="B27" s="111"/>
      <c r="C27" s="114">
        <v>0.18480641201623974</v>
      </c>
      <c r="D27" s="115">
        <f>Purchased_electricity___WA_Avg_CO2EF/$A$4</f>
        <v>1.8480641201623974E-4</v>
      </c>
      <c r="E27" s="114">
        <f>CH4_EF_kg_MWh</f>
        <v>2.993709644510497E-2</v>
      </c>
      <c r="F27" s="110">
        <f>E27/($A$6*$A$4*$A$8)</f>
        <v>1.357925467659051E-8</v>
      </c>
      <c r="G27" s="116">
        <f>N2O_EF_kg_MWh</f>
        <v>4.3091275186135942E-3</v>
      </c>
      <c r="H27" s="110">
        <f>G27/($A$6*$A$4*$A$8)</f>
        <v>1.9545896882971189E-9</v>
      </c>
      <c r="J27" s="74"/>
      <c r="K27" s="74"/>
      <c r="L27" s="74"/>
    </row>
    <row r="28" spans="1:12" x14ac:dyDescent="0.3">
      <c r="B28" s="114"/>
      <c r="C28" s="115"/>
      <c r="D28" s="114"/>
      <c r="E28" s="110"/>
      <c r="F28" s="116"/>
      <c r="G28" s="110"/>
      <c r="H28" s="117"/>
      <c r="J28" s="74"/>
      <c r="K28" s="74"/>
      <c r="L28" s="74"/>
    </row>
    <row r="29" spans="1:12" x14ac:dyDescent="0.3">
      <c r="B29" s="114"/>
      <c r="C29" s="115"/>
      <c r="D29" s="114"/>
      <c r="E29" s="110"/>
      <c r="F29" s="116"/>
      <c r="G29" s="110"/>
      <c r="H29" s="117"/>
      <c r="J29" s="74"/>
      <c r="K29" s="74"/>
      <c r="L29" s="74"/>
    </row>
    <row r="30" spans="1:12" s="16" customFormat="1" ht="18" x14ac:dyDescent="0.4">
      <c r="A30" s="98" t="s">
        <v>312</v>
      </c>
      <c r="B30" s="106"/>
      <c r="C30" s="106" t="s">
        <v>93</v>
      </c>
      <c r="D30" s="106" t="s">
        <v>93</v>
      </c>
      <c r="E30" s="113" t="s">
        <v>95</v>
      </c>
      <c r="F30" s="113" t="s">
        <v>95</v>
      </c>
      <c r="G30" s="113" t="s">
        <v>317</v>
      </c>
      <c r="H30" s="113" t="s">
        <v>100</v>
      </c>
    </row>
    <row r="31" spans="1:12" s="16" customFormat="1" x14ac:dyDescent="0.3">
      <c r="A31" s="98"/>
      <c r="B31" s="106"/>
      <c r="C31" s="107" t="s">
        <v>313</v>
      </c>
      <c r="D31" s="107" t="s">
        <v>321</v>
      </c>
      <c r="E31" s="107" t="s">
        <v>96</v>
      </c>
      <c r="F31" s="107" t="s">
        <v>322</v>
      </c>
      <c r="G31" s="107" t="s">
        <v>318</v>
      </c>
      <c r="H31" s="107" t="s">
        <v>323</v>
      </c>
    </row>
    <row r="32" spans="1:12" x14ac:dyDescent="0.3">
      <c r="A32" s="10" t="s">
        <v>31</v>
      </c>
      <c r="B32" s="111"/>
      <c r="C32" s="111">
        <v>66.33</v>
      </c>
      <c r="D32" s="111">
        <f>C32*$A$10/$A$4</f>
        <v>7.9198019999999994E-2</v>
      </c>
      <c r="E32" s="111">
        <f>1.25/$A$4</f>
        <v>1.25E-3</v>
      </c>
      <c r="F32" s="111">
        <f>E32*$A$10/$A$4</f>
        <v>1.4924999999999999E-6</v>
      </c>
      <c r="G32" s="111">
        <f>0.125/1000</f>
        <v>1.25E-4</v>
      </c>
      <c r="H32" s="111">
        <f>G32*$A$10/$A$4</f>
        <v>1.4924999999999999E-7</v>
      </c>
    </row>
    <row r="33" spans="1:8" x14ac:dyDescent="0.3">
      <c r="A33" s="13"/>
      <c r="D33" s="10" t="s">
        <v>2</v>
      </c>
      <c r="E33" s="10" t="s">
        <v>2</v>
      </c>
      <c r="F33" s="10" t="s">
        <v>2</v>
      </c>
    </row>
    <row r="34" spans="1:8" x14ac:dyDescent="0.3">
      <c r="A34" s="9"/>
    </row>
    <row r="35" spans="1:8" x14ac:dyDescent="0.3">
      <c r="A35" s="9"/>
    </row>
    <row r="37" spans="1:8" x14ac:dyDescent="0.3">
      <c r="A37" s="96" t="s">
        <v>43</v>
      </c>
      <c r="B37" s="96" t="s">
        <v>2</v>
      </c>
      <c r="C37" s="96" t="s">
        <v>2</v>
      </c>
      <c r="D37" s="96" t="s">
        <v>2</v>
      </c>
      <c r="E37" s="96" t="s">
        <v>2</v>
      </c>
      <c r="F37" s="96"/>
      <c r="G37" s="96" t="s">
        <v>2</v>
      </c>
      <c r="H37" s="97"/>
    </row>
    <row r="38" spans="1:8" s="16" customFormat="1" ht="18" x14ac:dyDescent="0.4">
      <c r="A38" s="98" t="s">
        <v>41</v>
      </c>
      <c r="B38" s="113" t="s">
        <v>89</v>
      </c>
      <c r="C38" s="113" t="s">
        <v>91</v>
      </c>
      <c r="D38" s="106" t="s">
        <v>93</v>
      </c>
      <c r="E38" s="113" t="s">
        <v>95</v>
      </c>
      <c r="F38" s="113" t="s">
        <v>95</v>
      </c>
      <c r="G38" s="113" t="s">
        <v>98</v>
      </c>
      <c r="H38" s="113" t="s">
        <v>100</v>
      </c>
    </row>
    <row r="39" spans="1:8" s="74" customFormat="1" ht="14.4" x14ac:dyDescent="0.3">
      <c r="A39" s="105"/>
      <c r="B39" s="107" t="s">
        <v>90</v>
      </c>
      <c r="C39" s="107" t="s">
        <v>92</v>
      </c>
      <c r="D39" s="107" t="s">
        <v>94</v>
      </c>
      <c r="E39" s="107" t="s">
        <v>96</v>
      </c>
      <c r="F39" s="107" t="s">
        <v>97</v>
      </c>
      <c r="G39" s="107" t="s">
        <v>99</v>
      </c>
      <c r="H39" s="107" t="s">
        <v>101</v>
      </c>
    </row>
    <row r="40" spans="1:8" x14ac:dyDescent="0.3">
      <c r="A40" s="10" t="s">
        <v>16</v>
      </c>
      <c r="B40" s="111">
        <v>0.125</v>
      </c>
      <c r="C40" s="112">
        <v>0.37630000000000002</v>
      </c>
      <c r="D40" s="116">
        <f>C40/$A$7</f>
        <v>8.9595238095238096E-3</v>
      </c>
      <c r="E40" s="112">
        <f>3*10^-3</f>
        <v>3.0000000000000001E-3</v>
      </c>
      <c r="F40" s="110">
        <f t="shared" ref="F40:F46" si="0">B40*E40/$A$4</f>
        <v>3.7500000000000001E-7</v>
      </c>
      <c r="G40" s="116">
        <f>6*10^-4</f>
        <v>6.0000000000000006E-4</v>
      </c>
      <c r="H40" s="110">
        <f t="shared" ref="H40:H46" si="1">G40*B40/$A$4</f>
        <v>7.500000000000001E-8</v>
      </c>
    </row>
    <row r="41" spans="1:8" x14ac:dyDescent="0.3">
      <c r="A41" s="10" t="s">
        <v>44</v>
      </c>
      <c r="B41" s="111">
        <v>8.4000000000000005E-2</v>
      </c>
      <c r="C41" s="112">
        <v>0.2422</v>
      </c>
      <c r="D41" s="116">
        <f t="shared" ref="D41:D46" si="2">C41/$A$7</f>
        <v>5.7666666666666665E-3</v>
      </c>
      <c r="E41" s="112">
        <f>1.1*10^-3</f>
        <v>1.1000000000000001E-3</v>
      </c>
      <c r="F41" s="110">
        <f t="shared" si="0"/>
        <v>9.2400000000000007E-8</v>
      </c>
      <c r="G41" s="116">
        <f>1.1*10^-4</f>
        <v>1.1000000000000002E-4</v>
      </c>
      <c r="H41" s="110">
        <f t="shared" si="1"/>
        <v>9.240000000000002E-9</v>
      </c>
    </row>
    <row r="42" spans="1:8" x14ac:dyDescent="0.3">
      <c r="A42" s="10" t="s">
        <v>45</v>
      </c>
      <c r="B42" s="111">
        <v>0.13800000000000001</v>
      </c>
      <c r="C42" s="112">
        <v>0.42959999999999998</v>
      </c>
      <c r="D42" s="116">
        <f t="shared" si="2"/>
        <v>1.0228571428571429E-2</v>
      </c>
      <c r="E42" s="112">
        <f>3*10^-3</f>
        <v>3.0000000000000001E-3</v>
      </c>
      <c r="F42" s="110">
        <f t="shared" si="0"/>
        <v>4.1400000000000003E-7</v>
      </c>
      <c r="G42" s="116">
        <f>6*10^-4</f>
        <v>6.0000000000000006E-4</v>
      </c>
      <c r="H42" s="110">
        <f t="shared" si="1"/>
        <v>8.2800000000000027E-8</v>
      </c>
    </row>
    <row r="43" spans="1:8" x14ac:dyDescent="0.3">
      <c r="A43" s="10" t="s">
        <v>46</v>
      </c>
      <c r="B43" s="111">
        <v>0.128</v>
      </c>
      <c r="C43" s="112">
        <v>0.3957</v>
      </c>
      <c r="D43" s="116">
        <f t="shared" si="2"/>
        <v>9.4214285714285719E-3</v>
      </c>
      <c r="E43" s="112">
        <f>1.1*10^-3</f>
        <v>1.1000000000000001E-3</v>
      </c>
      <c r="F43" s="110">
        <f t="shared" si="0"/>
        <v>1.4080000000000002E-7</v>
      </c>
      <c r="G43" s="116">
        <f>1.1*10^-4</f>
        <v>1.1000000000000002E-4</v>
      </c>
      <c r="H43" s="110">
        <f t="shared" si="1"/>
        <v>1.4080000000000003E-8</v>
      </c>
    </row>
    <row r="44" spans="1:8" x14ac:dyDescent="0.3">
      <c r="A44" s="10" t="s">
        <v>20</v>
      </c>
      <c r="B44" s="111">
        <v>9.0999999999999998E-2</v>
      </c>
      <c r="C44" s="112">
        <v>0.24099999999999999</v>
      </c>
      <c r="D44" s="116">
        <f t="shared" si="2"/>
        <v>5.7380952380952383E-3</v>
      </c>
      <c r="E44" s="112">
        <f>3*10^-3</f>
        <v>3.0000000000000001E-3</v>
      </c>
      <c r="F44" s="110">
        <f t="shared" si="0"/>
        <v>2.7300000000000002E-7</v>
      </c>
      <c r="G44" s="116">
        <f>6*10^-4</f>
        <v>6.0000000000000006E-4</v>
      </c>
      <c r="H44" s="110">
        <f t="shared" si="1"/>
        <v>5.4600000000000006E-8</v>
      </c>
    </row>
    <row r="45" spans="1:8" x14ac:dyDescent="0.3">
      <c r="A45" s="10" t="s">
        <v>25</v>
      </c>
      <c r="B45" s="111">
        <v>0.125</v>
      </c>
      <c r="C45" s="112">
        <v>0.34899999999999998</v>
      </c>
      <c r="D45" s="116">
        <f t="shared" si="2"/>
        <v>8.3095238095238083E-3</v>
      </c>
      <c r="E45" s="112">
        <f>3*10^-3</f>
        <v>3.0000000000000001E-3</v>
      </c>
      <c r="F45" s="110">
        <f t="shared" si="0"/>
        <v>3.7500000000000001E-7</v>
      </c>
      <c r="G45" s="116">
        <f>6*10^-4</f>
        <v>6.0000000000000006E-4</v>
      </c>
      <c r="H45" s="110">
        <f t="shared" si="1"/>
        <v>7.500000000000001E-8</v>
      </c>
    </row>
    <row r="46" spans="1:8" x14ac:dyDescent="0.3">
      <c r="A46" s="10" t="s">
        <v>26</v>
      </c>
      <c r="B46" s="111">
        <v>0.13500000000000001</v>
      </c>
      <c r="C46" s="112">
        <v>0.40949999999999998</v>
      </c>
      <c r="D46" s="116">
        <f t="shared" si="2"/>
        <v>9.75E-3</v>
      </c>
      <c r="E46" s="112">
        <f>3*10^-3</f>
        <v>3.0000000000000001E-3</v>
      </c>
      <c r="F46" s="110">
        <f t="shared" si="0"/>
        <v>4.0500000000000004E-7</v>
      </c>
      <c r="G46" s="116">
        <f>6*10^-4</f>
        <v>6.0000000000000006E-4</v>
      </c>
      <c r="H46" s="110">
        <f t="shared" si="1"/>
        <v>8.1000000000000024E-8</v>
      </c>
    </row>
    <row r="47" spans="1:8" x14ac:dyDescent="0.3">
      <c r="A47" s="9" t="s">
        <v>47</v>
      </c>
      <c r="B47" s="10" t="s">
        <v>2</v>
      </c>
    </row>
    <row r="48" spans="1:8" x14ac:dyDescent="0.3">
      <c r="E48" s="11" t="s">
        <v>2</v>
      </c>
      <c r="F48" s="12" t="s">
        <v>2</v>
      </c>
    </row>
    <row r="49" spans="1:9" x14ac:dyDescent="0.3">
      <c r="A49" s="240" t="s">
        <v>48</v>
      </c>
      <c r="B49" s="240"/>
    </row>
    <row r="50" spans="1:9" ht="18" x14ac:dyDescent="0.4">
      <c r="A50" s="10" t="s">
        <v>71</v>
      </c>
      <c r="B50" s="10">
        <v>1</v>
      </c>
    </row>
    <row r="51" spans="1:9" ht="18" x14ac:dyDescent="0.4">
      <c r="A51" s="10" t="s">
        <v>72</v>
      </c>
      <c r="B51" s="10">
        <v>25</v>
      </c>
    </row>
    <row r="52" spans="1:9" ht="18" x14ac:dyDescent="0.4">
      <c r="A52" s="10" t="s">
        <v>73</v>
      </c>
      <c r="B52" s="10">
        <v>298</v>
      </c>
    </row>
    <row r="53" spans="1:9" x14ac:dyDescent="0.3">
      <c r="A53" s="9" t="s">
        <v>49</v>
      </c>
      <c r="E53" s="74"/>
      <c r="F53" s="74"/>
      <c r="G53" s="74"/>
      <c r="H53" s="74"/>
      <c r="I53" s="74"/>
    </row>
    <row r="54" spans="1:9" x14ac:dyDescent="0.3">
      <c r="A54" s="9"/>
      <c r="E54" s="74"/>
      <c r="F54" s="74"/>
      <c r="G54" s="74"/>
      <c r="H54" s="74"/>
      <c r="I54" s="74"/>
    </row>
    <row r="55" spans="1:9" x14ac:dyDescent="0.3">
      <c r="A55" s="39" t="s">
        <v>418</v>
      </c>
      <c r="B55" s="39"/>
      <c r="C55" s="40"/>
      <c r="E55" s="74"/>
      <c r="F55" s="74"/>
      <c r="G55" s="74"/>
      <c r="H55" s="74"/>
      <c r="I55" s="74"/>
    </row>
    <row r="56" spans="1:9" x14ac:dyDescent="0.3">
      <c r="A56" s="10" t="s">
        <v>407</v>
      </c>
      <c r="B56" s="232">
        <v>0.217</v>
      </c>
      <c r="C56" s="10" t="s">
        <v>408</v>
      </c>
      <c r="D56" s="83" t="s">
        <v>244</v>
      </c>
      <c r="E56" s="74"/>
      <c r="F56" s="74"/>
      <c r="G56" s="74"/>
      <c r="H56" s="74"/>
      <c r="I56" s="74"/>
    </row>
    <row r="57" spans="1:9" x14ac:dyDescent="0.3">
      <c r="A57" s="14" t="s">
        <v>108</v>
      </c>
      <c r="B57" s="10">
        <v>1.2</v>
      </c>
      <c r="C57" s="10" t="s">
        <v>409</v>
      </c>
      <c r="E57" s="74"/>
      <c r="F57" s="74"/>
      <c r="G57" s="74"/>
      <c r="H57" s="74"/>
      <c r="I57" s="74"/>
    </row>
    <row r="58" spans="1:9" x14ac:dyDescent="0.3">
      <c r="E58" s="74"/>
      <c r="F58" s="74"/>
      <c r="G58" s="74"/>
      <c r="H58" s="74"/>
      <c r="I58" s="74"/>
    </row>
    <row r="59" spans="1:9" x14ac:dyDescent="0.3">
      <c r="D59" s="14"/>
      <c r="E59" s="74"/>
      <c r="F59" s="74"/>
      <c r="G59" s="74"/>
      <c r="H59" s="74"/>
      <c r="I59" s="74"/>
    </row>
    <row r="60" spans="1:9" x14ac:dyDescent="0.3">
      <c r="A60" s="35"/>
      <c r="E60" s="74"/>
      <c r="F60" s="74"/>
      <c r="G60" s="74"/>
      <c r="H60" s="74"/>
      <c r="I60" s="74"/>
    </row>
    <row r="61" spans="1:9" x14ac:dyDescent="0.3">
      <c r="A61" s="99" t="s">
        <v>88</v>
      </c>
      <c r="B61" s="99" t="s">
        <v>50</v>
      </c>
      <c r="C61" s="99" t="s">
        <v>163</v>
      </c>
      <c r="E61" s="74"/>
      <c r="F61" s="74"/>
      <c r="G61" s="74"/>
      <c r="H61" s="74"/>
      <c r="I61" s="74"/>
    </row>
    <row r="62" spans="1:9" x14ac:dyDescent="0.3">
      <c r="A62" s="100">
        <v>3750</v>
      </c>
      <c r="B62" s="45" t="s">
        <v>115</v>
      </c>
      <c r="C62" s="101" t="s">
        <v>162</v>
      </c>
      <c r="E62" s="14"/>
    </row>
    <row r="63" spans="1:9" x14ac:dyDescent="0.3">
      <c r="A63" s="100">
        <v>4950</v>
      </c>
      <c r="B63" s="45" t="s">
        <v>116</v>
      </c>
      <c r="C63" s="101" t="s">
        <v>140</v>
      </c>
      <c r="E63" s="14"/>
    </row>
    <row r="64" spans="1:9" x14ac:dyDescent="0.3">
      <c r="A64" s="100">
        <v>1030</v>
      </c>
      <c r="B64" s="45" t="s">
        <v>117</v>
      </c>
      <c r="C64" s="101" t="s">
        <v>141</v>
      </c>
      <c r="E64" s="14"/>
    </row>
    <row r="65" spans="1:5" x14ac:dyDescent="0.3">
      <c r="A65" s="100">
        <v>3100</v>
      </c>
      <c r="B65" s="45" t="s">
        <v>118</v>
      </c>
      <c r="C65" s="101" t="s">
        <v>142</v>
      </c>
      <c r="E65" s="14"/>
    </row>
    <row r="66" spans="1:5" x14ac:dyDescent="0.3">
      <c r="A66" s="100">
        <v>4610</v>
      </c>
      <c r="B66" s="45" t="s">
        <v>119</v>
      </c>
      <c r="C66" s="101" t="s">
        <v>143</v>
      </c>
      <c r="E66" s="14"/>
    </row>
    <row r="67" spans="1:5" x14ac:dyDescent="0.3">
      <c r="A67" s="100">
        <v>1790</v>
      </c>
      <c r="B67" s="45" t="s">
        <v>120</v>
      </c>
      <c r="C67" s="101" t="s">
        <v>144</v>
      </c>
      <c r="E67" s="14"/>
    </row>
    <row r="68" spans="1:5" x14ac:dyDescent="0.3">
      <c r="A68" s="100">
        <v>4770</v>
      </c>
      <c r="B68" s="45" t="s">
        <v>121</v>
      </c>
      <c r="C68" s="101" t="s">
        <v>145</v>
      </c>
      <c r="E68" s="14"/>
    </row>
    <row r="69" spans="1:5" x14ac:dyDescent="0.3">
      <c r="A69" s="100">
        <v>3030</v>
      </c>
      <c r="B69" s="45" t="s">
        <v>122</v>
      </c>
      <c r="C69" s="101" t="s">
        <v>146</v>
      </c>
      <c r="E69" s="14"/>
    </row>
    <row r="70" spans="1:5" x14ac:dyDescent="0.3">
      <c r="A70" s="100">
        <v>2350</v>
      </c>
      <c r="B70" s="45" t="s">
        <v>123</v>
      </c>
      <c r="C70" s="101" t="s">
        <v>147</v>
      </c>
      <c r="E70" s="14"/>
    </row>
    <row r="71" spans="1:5" x14ac:dyDescent="0.3">
      <c r="A71" s="101"/>
      <c r="B71" s="45" t="s">
        <v>124</v>
      </c>
      <c r="C71" s="101" t="s">
        <v>148</v>
      </c>
      <c r="E71" s="14"/>
    </row>
    <row r="72" spans="1:5" x14ac:dyDescent="0.3">
      <c r="A72" s="100">
        <v>4900</v>
      </c>
      <c r="B72" s="45" t="s">
        <v>125</v>
      </c>
      <c r="C72" s="101" t="s">
        <v>149</v>
      </c>
      <c r="E72" s="14"/>
    </row>
    <row r="73" spans="1:5" x14ac:dyDescent="0.3">
      <c r="A73" s="100">
        <v>3000</v>
      </c>
      <c r="B73" s="45" t="s">
        <v>126</v>
      </c>
      <c r="C73" s="101" t="s">
        <v>150</v>
      </c>
      <c r="E73" s="14"/>
    </row>
    <row r="74" spans="1:5" x14ac:dyDescent="0.3">
      <c r="A74" s="100">
        <v>4050</v>
      </c>
      <c r="B74" s="45" t="s">
        <v>127</v>
      </c>
      <c r="C74" s="101" t="s">
        <v>151</v>
      </c>
      <c r="E74" s="14"/>
    </row>
    <row r="75" spans="1:5" x14ac:dyDescent="0.3">
      <c r="A75" s="100">
        <v>3050</v>
      </c>
      <c r="B75" s="45" t="s">
        <v>128</v>
      </c>
      <c r="C75" s="101" t="s">
        <v>152</v>
      </c>
      <c r="E75" s="14"/>
    </row>
    <row r="76" spans="1:5" x14ac:dyDescent="0.3">
      <c r="A76" s="100">
        <v>3700</v>
      </c>
      <c r="B76" s="46" t="s">
        <v>129</v>
      </c>
      <c r="C76" s="101" t="s">
        <v>153</v>
      </c>
      <c r="E76" s="14"/>
    </row>
    <row r="77" spans="1:5" x14ac:dyDescent="0.3">
      <c r="A77" s="102" t="s">
        <v>2</v>
      </c>
      <c r="B77" s="45" t="s">
        <v>171</v>
      </c>
      <c r="C77" s="101" t="s">
        <v>172</v>
      </c>
      <c r="E77" s="14"/>
    </row>
    <row r="78" spans="1:5" x14ac:dyDescent="0.3">
      <c r="A78" s="100">
        <v>6520</v>
      </c>
      <c r="B78" s="45" t="s">
        <v>130</v>
      </c>
      <c r="C78" s="101" t="s">
        <v>154</v>
      </c>
      <c r="E78" s="14"/>
    </row>
    <row r="79" spans="1:5" x14ac:dyDescent="0.3">
      <c r="A79" s="100">
        <v>1950</v>
      </c>
      <c r="B79" s="45" t="s">
        <v>131</v>
      </c>
      <c r="C79" s="101" t="s">
        <v>155</v>
      </c>
      <c r="E79" s="14"/>
    </row>
    <row r="80" spans="1:5" x14ac:dyDescent="0.3">
      <c r="B80" s="45" t="s">
        <v>165</v>
      </c>
      <c r="C80" s="101" t="s">
        <v>166</v>
      </c>
      <c r="E80" s="14"/>
    </row>
    <row r="81" spans="1:6" x14ac:dyDescent="0.3">
      <c r="A81" s="101"/>
      <c r="B81" s="45" t="s">
        <v>69</v>
      </c>
      <c r="C81" s="101" t="s">
        <v>173</v>
      </c>
    </row>
    <row r="82" spans="1:6" x14ac:dyDescent="0.3">
      <c r="A82" s="100">
        <v>6700</v>
      </c>
      <c r="B82" s="46" t="s">
        <v>132</v>
      </c>
      <c r="C82" s="101" t="s">
        <v>167</v>
      </c>
    </row>
    <row r="83" spans="1:6" x14ac:dyDescent="0.3">
      <c r="A83" s="100">
        <v>6760</v>
      </c>
      <c r="B83" s="45" t="s">
        <v>133</v>
      </c>
      <c r="C83" s="101" t="s">
        <v>168</v>
      </c>
    </row>
    <row r="84" spans="1:6" x14ac:dyDescent="0.3">
      <c r="A84" s="100">
        <v>4650</v>
      </c>
      <c r="B84" s="45" t="s">
        <v>134</v>
      </c>
      <c r="C84" s="101" t="s">
        <v>156</v>
      </c>
    </row>
    <row r="85" spans="1:6" x14ac:dyDescent="0.3">
      <c r="A85" s="100">
        <v>3760</v>
      </c>
      <c r="B85" s="45" t="s">
        <v>135</v>
      </c>
      <c r="C85" s="101" t="s">
        <v>157</v>
      </c>
    </row>
    <row r="86" spans="1:6" x14ac:dyDescent="0.3">
      <c r="A86" s="100">
        <v>3600</v>
      </c>
      <c r="B86" s="45" t="s">
        <v>136</v>
      </c>
      <c r="C86" s="101" t="s">
        <v>158</v>
      </c>
    </row>
    <row r="87" spans="1:6" x14ac:dyDescent="0.3">
      <c r="A87" s="102" t="s">
        <v>2</v>
      </c>
      <c r="B87" s="45" t="s">
        <v>169</v>
      </c>
      <c r="C87" s="101" t="s">
        <v>170</v>
      </c>
    </row>
    <row r="88" spans="1:6" x14ac:dyDescent="0.3">
      <c r="A88" s="100">
        <v>2250</v>
      </c>
      <c r="B88" s="45" t="s">
        <v>137</v>
      </c>
      <c r="C88" s="101" t="s">
        <v>159</v>
      </c>
    </row>
    <row r="89" spans="1:6" x14ac:dyDescent="0.3">
      <c r="A89" s="100">
        <v>3650</v>
      </c>
      <c r="B89" s="45" t="s">
        <v>138</v>
      </c>
      <c r="C89" s="101" t="s">
        <v>160</v>
      </c>
    </row>
    <row r="90" spans="1:6" x14ac:dyDescent="0.3">
      <c r="A90" s="100">
        <v>3800</v>
      </c>
      <c r="B90" s="45" t="s">
        <v>139</v>
      </c>
      <c r="C90" s="101" t="s">
        <v>161</v>
      </c>
    </row>
    <row r="93" spans="1:6" x14ac:dyDescent="0.3">
      <c r="A93" s="15" t="s">
        <v>2</v>
      </c>
      <c r="D93" s="83" t="s">
        <v>331</v>
      </c>
    </row>
    <row r="94" spans="1:6" ht="31.2" x14ac:dyDescent="0.3">
      <c r="A94" s="54" t="s">
        <v>70</v>
      </c>
      <c r="B94" s="55" t="s">
        <v>303</v>
      </c>
      <c r="D94" s="54" t="s">
        <v>238</v>
      </c>
      <c r="E94" s="55" t="s">
        <v>325</v>
      </c>
      <c r="F94" s="55" t="s">
        <v>241</v>
      </c>
    </row>
    <row r="95" spans="1:6" s="74" customFormat="1" ht="31.2" x14ac:dyDescent="0.3">
      <c r="A95" s="211" t="s">
        <v>243</v>
      </c>
      <c r="B95" s="212">
        <v>8.0445423000000002E-2</v>
      </c>
      <c r="C95" s="10"/>
      <c r="D95" s="118" t="s">
        <v>324</v>
      </c>
      <c r="E95" s="119">
        <v>8.76</v>
      </c>
      <c r="F95" s="120">
        <f>E95/10.37</f>
        <v>0.84474445515911289</v>
      </c>
    </row>
    <row r="96" spans="1:6" x14ac:dyDescent="0.3">
      <c r="A96" s="10" t="s">
        <v>174</v>
      </c>
      <c r="B96" s="84">
        <v>9.6560669000000002E-2</v>
      </c>
    </row>
    <row r="97" spans="1:7" x14ac:dyDescent="0.3">
      <c r="A97" s="10" t="s">
        <v>175</v>
      </c>
      <c r="B97" s="84">
        <v>7.3074693999999996E-2</v>
      </c>
    </row>
    <row r="98" spans="1:7" x14ac:dyDescent="0.3">
      <c r="A98" s="10" t="s">
        <v>176</v>
      </c>
      <c r="B98" s="84">
        <v>6.7192689999999999E-2</v>
      </c>
    </row>
    <row r="99" spans="1:7" x14ac:dyDescent="0.3">
      <c r="A99" s="10" t="s">
        <v>177</v>
      </c>
      <c r="B99" s="84">
        <v>1.5615815E-2</v>
      </c>
    </row>
    <row r="100" spans="1:7" x14ac:dyDescent="0.3">
      <c r="A100" s="10" t="s">
        <v>222</v>
      </c>
      <c r="B100" s="84">
        <v>8.2147745000000008E-2</v>
      </c>
      <c r="D100" s="54" t="s">
        <v>326</v>
      </c>
      <c r="E100" s="55" t="s">
        <v>239</v>
      </c>
      <c r="F100" s="55" t="s">
        <v>337</v>
      </c>
      <c r="G100" s="83" t="s">
        <v>333</v>
      </c>
    </row>
    <row r="101" spans="1:7" x14ac:dyDescent="0.3">
      <c r="A101" s="10" t="s">
        <v>223</v>
      </c>
      <c r="B101" s="84">
        <v>0.10039932</v>
      </c>
    </row>
    <row r="102" spans="1:7" x14ac:dyDescent="0.3">
      <c r="A102" s="10" t="s">
        <v>224</v>
      </c>
      <c r="B102" s="84">
        <v>6.5405951000000004E-2</v>
      </c>
      <c r="D102" s="82" t="s">
        <v>327</v>
      </c>
      <c r="E102" s="121">
        <v>3.87</v>
      </c>
      <c r="G102" s="83" t="s">
        <v>332</v>
      </c>
    </row>
    <row r="103" spans="1:7" x14ac:dyDescent="0.3">
      <c r="A103" s="10" t="s">
        <v>178</v>
      </c>
      <c r="B103" s="84">
        <v>8.095238099999999E-2</v>
      </c>
      <c r="D103" s="82" t="s">
        <v>22</v>
      </c>
      <c r="E103" s="121">
        <v>2.76</v>
      </c>
      <c r="G103" s="83" t="s">
        <v>332</v>
      </c>
    </row>
    <row r="104" spans="1:7" x14ac:dyDescent="0.3">
      <c r="A104" s="10" t="s">
        <v>225</v>
      </c>
      <c r="B104" s="84">
        <v>6.5947747000000001E-2</v>
      </c>
      <c r="D104" s="71" t="s">
        <v>328</v>
      </c>
      <c r="E104" s="121">
        <v>3.49</v>
      </c>
      <c r="G104" s="83" t="s">
        <v>336</v>
      </c>
    </row>
    <row r="105" spans="1:7" x14ac:dyDescent="0.3">
      <c r="A105" s="10" t="s">
        <v>226</v>
      </c>
      <c r="B105" s="84">
        <v>8.5244975000000001E-2</v>
      </c>
      <c r="D105" s="71" t="s">
        <v>329</v>
      </c>
      <c r="E105" s="121">
        <v>3.33</v>
      </c>
      <c r="G105" s="83" t="s">
        <v>334</v>
      </c>
    </row>
    <row r="106" spans="1:7" x14ac:dyDescent="0.3">
      <c r="A106" s="10" t="s">
        <v>227</v>
      </c>
      <c r="B106" s="84">
        <v>8.6475796000000008E-2</v>
      </c>
      <c r="D106" s="71" t="s">
        <v>330</v>
      </c>
      <c r="E106" s="121">
        <v>2.0070000000000001</v>
      </c>
      <c r="G106" s="83" t="s">
        <v>335</v>
      </c>
    </row>
    <row r="107" spans="1:7" x14ac:dyDescent="0.3">
      <c r="A107" s="10" t="s">
        <v>228</v>
      </c>
      <c r="B107" s="84">
        <v>8.5075664999999995E-2</v>
      </c>
      <c r="D107" s="71" t="s">
        <v>20</v>
      </c>
      <c r="E107" s="121">
        <v>2.17</v>
      </c>
      <c r="G107" s="83" t="s">
        <v>334</v>
      </c>
    </row>
    <row r="108" spans="1:7" x14ac:dyDescent="0.3">
      <c r="A108" s="10" t="s">
        <v>229</v>
      </c>
      <c r="B108" s="84">
        <v>8.0352012E-2</v>
      </c>
    </row>
    <row r="109" spans="1:7" x14ac:dyDescent="0.3">
      <c r="A109" s="10" t="s">
        <v>230</v>
      </c>
      <c r="B109" s="84">
        <v>0.10139106999999999</v>
      </c>
    </row>
    <row r="110" spans="1:7" x14ac:dyDescent="0.3">
      <c r="A110" s="10" t="s">
        <v>231</v>
      </c>
      <c r="B110" s="84">
        <v>7.4512910000000002E-2</v>
      </c>
    </row>
    <row r="111" spans="1:7" x14ac:dyDescent="0.3">
      <c r="A111" s="10" t="s">
        <v>232</v>
      </c>
      <c r="B111" s="84">
        <v>7.8587996999999993E-2</v>
      </c>
    </row>
    <row r="112" spans="1:7" x14ac:dyDescent="0.3">
      <c r="A112" s="10" t="s">
        <v>179</v>
      </c>
      <c r="B112" s="84">
        <v>9.8222646000000011E-2</v>
      </c>
    </row>
    <row r="113" spans="1:2" x14ac:dyDescent="0.3">
      <c r="A113" s="10" t="s">
        <v>180</v>
      </c>
      <c r="B113" s="84">
        <v>8.8224926000000009E-2</v>
      </c>
    </row>
    <row r="114" spans="1:2" x14ac:dyDescent="0.3">
      <c r="A114" s="10" t="s">
        <v>181</v>
      </c>
      <c r="B114" s="84">
        <v>7.0531135999999994E-2</v>
      </c>
    </row>
    <row r="115" spans="1:2" x14ac:dyDescent="0.3">
      <c r="A115" s="10" t="s">
        <v>182</v>
      </c>
      <c r="B115" s="84">
        <v>8.3062138999999993E-2</v>
      </c>
    </row>
    <row r="116" spans="1:2" x14ac:dyDescent="0.3">
      <c r="A116" s="10" t="s">
        <v>183</v>
      </c>
      <c r="B116" s="84">
        <v>8.5340314E-2</v>
      </c>
    </row>
    <row r="117" spans="1:2" x14ac:dyDescent="0.3">
      <c r="A117" s="10" t="s">
        <v>184</v>
      </c>
      <c r="B117" s="84">
        <v>9.2892507999999999E-2</v>
      </c>
    </row>
    <row r="118" spans="1:2" x14ac:dyDescent="0.3">
      <c r="A118" s="10" t="s">
        <v>185</v>
      </c>
      <c r="B118" s="84">
        <v>6.4263899999999999E-2</v>
      </c>
    </row>
    <row r="119" spans="1:2" x14ac:dyDescent="0.3">
      <c r="A119" s="10" t="s">
        <v>186</v>
      </c>
      <c r="B119" s="84">
        <v>8.2770803000000004E-2</v>
      </c>
    </row>
    <row r="120" spans="1:2" x14ac:dyDescent="0.3">
      <c r="A120" s="10" t="s">
        <v>187</v>
      </c>
      <c r="B120" s="84">
        <v>0.12230216000000001</v>
      </c>
    </row>
    <row r="121" spans="1:2" x14ac:dyDescent="0.3">
      <c r="A121" s="10" t="s">
        <v>188</v>
      </c>
      <c r="B121" s="84">
        <v>8.6057618000000002E-2</v>
      </c>
    </row>
    <row r="122" spans="1:2" x14ac:dyDescent="0.3">
      <c r="A122" s="10" t="s">
        <v>189</v>
      </c>
      <c r="B122" s="84">
        <v>9.5210440999999993E-2</v>
      </c>
    </row>
    <row r="123" spans="1:2" x14ac:dyDescent="0.3">
      <c r="A123" s="10" t="s">
        <v>190</v>
      </c>
      <c r="B123" s="84">
        <v>0.14807413999999999</v>
      </c>
    </row>
    <row r="124" spans="1:2" x14ac:dyDescent="0.3">
      <c r="A124" s="10" t="s">
        <v>191</v>
      </c>
      <c r="B124" s="84">
        <v>9.4286327000000003E-2</v>
      </c>
    </row>
    <row r="125" spans="1:2" x14ac:dyDescent="0.3">
      <c r="A125" s="10" t="s">
        <v>192</v>
      </c>
      <c r="B125" s="84">
        <v>5.7563025000000004E-2</v>
      </c>
    </row>
    <row r="126" spans="1:2" x14ac:dyDescent="0.3">
      <c r="A126" s="10" t="s">
        <v>193</v>
      </c>
      <c r="B126" s="84">
        <v>7.2298774999999996E-2</v>
      </c>
    </row>
    <row r="127" spans="1:2" x14ac:dyDescent="0.3">
      <c r="A127" s="10" t="s">
        <v>194</v>
      </c>
      <c r="B127" s="84">
        <v>3.0688956E-2</v>
      </c>
    </row>
    <row r="128" spans="1:2" x14ac:dyDescent="0.3">
      <c r="A128" s="10" t="s">
        <v>195</v>
      </c>
      <c r="B128" s="84">
        <v>9.7853987000000003E-2</v>
      </c>
    </row>
    <row r="129" spans="1:2" x14ac:dyDescent="0.3">
      <c r="A129" s="10" t="s">
        <v>233</v>
      </c>
      <c r="B129" s="84">
        <v>8.1428923E-2</v>
      </c>
    </row>
    <row r="130" spans="1:2" x14ac:dyDescent="0.3">
      <c r="A130" s="10" t="s">
        <v>196</v>
      </c>
      <c r="B130" s="84">
        <v>5.9450321E-2</v>
      </c>
    </row>
    <row r="131" spans="1:2" x14ac:dyDescent="0.3">
      <c r="A131" s="10" t="s">
        <v>197</v>
      </c>
      <c r="B131" s="84">
        <v>2.9810281000000001E-2</v>
      </c>
    </row>
    <row r="132" spans="1:2" x14ac:dyDescent="0.3">
      <c r="A132" s="10" t="s">
        <v>198</v>
      </c>
      <c r="B132" s="84">
        <v>9.9773569000000006E-2</v>
      </c>
    </row>
    <row r="133" spans="1:2" x14ac:dyDescent="0.3">
      <c r="A133" s="10" t="s">
        <v>199</v>
      </c>
      <c r="B133" s="84">
        <v>7.8084176000000005E-2</v>
      </c>
    </row>
    <row r="134" spans="1:2" x14ac:dyDescent="0.3">
      <c r="A134" s="10" t="s">
        <v>200</v>
      </c>
      <c r="B134" s="84">
        <v>0.10871691</v>
      </c>
    </row>
    <row r="135" spans="1:2" x14ac:dyDescent="0.3">
      <c r="A135" s="10" t="s">
        <v>201</v>
      </c>
      <c r="B135" s="84">
        <v>0.10106961</v>
      </c>
    </row>
    <row r="136" spans="1:2" x14ac:dyDescent="0.3">
      <c r="A136" s="10" t="s">
        <v>202</v>
      </c>
      <c r="B136" s="84">
        <v>9.8767764000000008E-2</v>
      </c>
    </row>
    <row r="137" spans="1:2" x14ac:dyDescent="0.3">
      <c r="A137" s="10" t="s">
        <v>203</v>
      </c>
      <c r="B137" s="84">
        <v>8.9753594000000006E-2</v>
      </c>
    </row>
    <row r="138" spans="1:2" x14ac:dyDescent="0.3">
      <c r="A138" s="10" t="s">
        <v>204</v>
      </c>
      <c r="B138" s="84">
        <v>7.8493658999999993E-2</v>
      </c>
    </row>
    <row r="139" spans="1:2" x14ac:dyDescent="0.3">
      <c r="A139" s="10" t="s">
        <v>205</v>
      </c>
      <c r="B139" s="84">
        <v>0.11588416</v>
      </c>
    </row>
    <row r="140" spans="1:2" x14ac:dyDescent="0.3">
      <c r="A140" s="10" t="s">
        <v>206</v>
      </c>
      <c r="B140" s="84">
        <v>7.6297394000000004E-2</v>
      </c>
    </row>
    <row r="141" spans="1:2" x14ac:dyDescent="0.3">
      <c r="A141" s="10" t="s">
        <v>207</v>
      </c>
      <c r="B141" s="84">
        <v>5.0834194000000006E-2</v>
      </c>
    </row>
    <row r="142" spans="1:2" x14ac:dyDescent="0.3">
      <c r="A142" s="10" t="s">
        <v>208</v>
      </c>
      <c r="B142" s="84">
        <v>9.5145058000000005E-2</v>
      </c>
    </row>
    <row r="143" spans="1:2" x14ac:dyDescent="0.3">
      <c r="A143" s="10" t="s">
        <v>209</v>
      </c>
      <c r="B143" s="84">
        <v>9.5866971999999995E-2</v>
      </c>
    </row>
    <row r="144" spans="1:2" x14ac:dyDescent="0.3">
      <c r="A144" s="10" t="s">
        <v>210</v>
      </c>
      <c r="B144" s="84">
        <v>5.1326608000000003E-2</v>
      </c>
    </row>
    <row r="145" spans="1:2" x14ac:dyDescent="0.3">
      <c r="A145" s="10" t="s">
        <v>211</v>
      </c>
      <c r="B145" s="84">
        <v>4.1660066999999995E-2</v>
      </c>
    </row>
    <row r="146" spans="1:2" x14ac:dyDescent="0.3">
      <c r="A146" s="10" t="s">
        <v>212</v>
      </c>
      <c r="B146" s="84">
        <v>8.3079370000000013E-2</v>
      </c>
    </row>
    <row r="147" spans="1:2" x14ac:dyDescent="0.3">
      <c r="A147" s="10" t="s">
        <v>213</v>
      </c>
      <c r="B147" s="84">
        <v>9.978015400000001E-2</v>
      </c>
    </row>
    <row r="148" spans="1:2" x14ac:dyDescent="0.3">
      <c r="A148" s="10" t="s">
        <v>214</v>
      </c>
      <c r="B148" s="84">
        <v>8.0176735999999998E-2</v>
      </c>
    </row>
    <row r="149" spans="1:2" x14ac:dyDescent="0.3">
      <c r="A149" s="10" t="s">
        <v>215</v>
      </c>
      <c r="B149" s="84">
        <v>7.5637657999999997E-2</v>
      </c>
    </row>
    <row r="150" spans="1:2" x14ac:dyDescent="0.3">
      <c r="A150" s="10" t="s">
        <v>216</v>
      </c>
      <c r="B150" s="84">
        <v>9.8043157000000006E-2</v>
      </c>
    </row>
    <row r="151" spans="1:2" x14ac:dyDescent="0.3">
      <c r="A151" s="10" t="s">
        <v>217</v>
      </c>
      <c r="B151" s="84">
        <v>0.10163296000000001</v>
      </c>
    </row>
    <row r="152" spans="1:2" x14ac:dyDescent="0.3">
      <c r="A152" s="10" t="s">
        <v>218</v>
      </c>
      <c r="B152" s="84">
        <v>0.12947189000000001</v>
      </c>
    </row>
    <row r="153" spans="1:2" x14ac:dyDescent="0.3">
      <c r="A153" s="10" t="s">
        <v>219</v>
      </c>
      <c r="B153" s="84">
        <v>0.12097386</v>
      </c>
    </row>
    <row r="154" spans="1:2" x14ac:dyDescent="0.3">
      <c r="A154" s="10" t="s">
        <v>234</v>
      </c>
      <c r="B154" s="84">
        <v>9.0526707999999997E-2</v>
      </c>
    </row>
    <row r="155" spans="1:2" x14ac:dyDescent="0.3">
      <c r="A155" s="10" t="s">
        <v>220</v>
      </c>
      <c r="B155" s="84">
        <v>9.4355940999999999E-2</v>
      </c>
    </row>
    <row r="156" spans="1:2" x14ac:dyDescent="0.3">
      <c r="A156" s="10" t="s">
        <v>221</v>
      </c>
      <c r="B156" s="84">
        <v>7.8888534999999996E-2</v>
      </c>
    </row>
  </sheetData>
  <sheetProtection algorithmName="SHA-512" hashValue="/RN7aSg5X8E1vhLqMChUT2Qb6ybM8Kb6vG5B93hzktAb7i8VVTXoHaHKzvFqduPSEC5ORdKhTValo7YVJ3wErQ==" saltValue="mKMwHS3yNK2ROXjmdpj84g==" spinCount="100000" sheet="1" objects="1" scenarios="1"/>
  <mergeCells count="1">
    <mergeCell ref="A49:B49"/>
  </mergeCells>
  <hyperlinks>
    <hyperlink ref="D93" r:id="rId1"/>
    <hyperlink ref="G102" r:id="rId2"/>
    <hyperlink ref="G100" r:id="rId3"/>
    <hyperlink ref="G105" r:id="rId4"/>
    <hyperlink ref="G107" r:id="rId5"/>
    <hyperlink ref="G103" r:id="rId6"/>
    <hyperlink ref="G106" r:id="rId7"/>
    <hyperlink ref="G104" r:id="rId8"/>
    <hyperlink ref="D56" r:id="rId9"/>
  </hyperlinks>
  <pageMargins left="0.7" right="0.7" top="0.75" bottom="0.75" header="0.3" footer="0.3"/>
  <pageSetup orientation="portrait" r:id="rId10"/>
  <legacyDrawing r:id="rId1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4" tint="0.39997558519241921"/>
  </sheetPr>
  <dimension ref="A1:AD78"/>
  <sheetViews>
    <sheetView zoomScale="102" workbookViewId="0">
      <selection activeCell="E20" sqref="E20"/>
    </sheetView>
  </sheetViews>
  <sheetFormatPr defaultRowHeight="14.4" x14ac:dyDescent="0.3"/>
  <cols>
    <col min="1" max="1" width="27.88671875" style="2" customWidth="1"/>
    <col min="2" max="5" width="14.5546875" style="2" customWidth="1"/>
    <col min="6" max="6" width="20" style="2" customWidth="1"/>
    <col min="7" max="8" width="14.5546875" style="2" customWidth="1"/>
    <col min="9" max="9" width="15.33203125" style="2" customWidth="1"/>
    <col min="10" max="10" width="30.6640625" style="2" customWidth="1"/>
    <col min="11" max="12" width="10.109375" style="2" bestFit="1" customWidth="1"/>
    <col min="13" max="20" width="11.109375" style="2" bestFit="1" customWidth="1"/>
    <col min="21" max="16384" width="8.88671875" style="2"/>
  </cols>
  <sheetData>
    <row r="1" spans="1:20" ht="23.4" x14ac:dyDescent="0.45">
      <c r="A1" s="59" t="s">
        <v>374</v>
      </c>
      <c r="B1" s="60"/>
      <c r="C1" s="37"/>
      <c r="D1" s="37"/>
      <c r="E1" s="37"/>
      <c r="F1" s="37"/>
      <c r="G1" s="37"/>
      <c r="H1" s="37"/>
    </row>
    <row r="2" spans="1:20" x14ac:dyDescent="0.3">
      <c r="A2" s="243" t="s">
        <v>420</v>
      </c>
      <c r="B2" s="243"/>
      <c r="C2" s="243"/>
      <c r="D2" s="243"/>
      <c r="E2" s="243"/>
      <c r="F2" s="243"/>
      <c r="G2" s="243"/>
      <c r="H2" s="243"/>
      <c r="M2" s="209"/>
      <c r="N2" s="209"/>
      <c r="O2" s="209"/>
    </row>
    <row r="3" spans="1:20" x14ac:dyDescent="0.3">
      <c r="A3" s="243"/>
      <c r="B3" s="243"/>
      <c r="C3" s="243"/>
      <c r="D3" s="243"/>
      <c r="E3" s="243"/>
      <c r="F3" s="243"/>
      <c r="G3" s="243"/>
      <c r="H3" s="243"/>
      <c r="J3" s="209"/>
      <c r="K3" s="209"/>
      <c r="L3" s="209"/>
      <c r="M3" s="209"/>
      <c r="N3" s="209"/>
      <c r="O3" s="209"/>
    </row>
    <row r="4" spans="1:20" x14ac:dyDescent="0.3">
      <c r="A4" s="246" t="s">
        <v>387</v>
      </c>
      <c r="B4" s="246"/>
      <c r="C4" s="246"/>
      <c r="D4" s="246"/>
      <c r="E4" s="246"/>
      <c r="F4" s="246"/>
      <c r="G4" s="246"/>
      <c r="H4" s="246"/>
      <c r="J4" s="209"/>
      <c r="K4" s="209"/>
      <c r="L4" s="209"/>
      <c r="M4" s="209"/>
      <c r="N4" s="209"/>
      <c r="O4" s="209"/>
    </row>
    <row r="5" spans="1:20" ht="14.4" customHeight="1" x14ac:dyDescent="0.3">
      <c r="A5" s="245" t="s">
        <v>389</v>
      </c>
      <c r="B5" s="245"/>
      <c r="C5" s="245"/>
      <c r="D5" s="245"/>
      <c r="E5" s="245"/>
      <c r="F5" s="245"/>
      <c r="G5" s="245"/>
      <c r="H5" s="245"/>
      <c r="J5" s="209"/>
      <c r="K5" s="209"/>
      <c r="L5" s="209"/>
      <c r="M5" s="209"/>
      <c r="N5" s="209"/>
      <c r="O5" s="209"/>
    </row>
    <row r="6" spans="1:20" x14ac:dyDescent="0.3">
      <c r="A6" s="245"/>
      <c r="B6" s="245"/>
      <c r="C6" s="245"/>
      <c r="D6" s="245"/>
      <c r="E6" s="245"/>
      <c r="F6" s="245"/>
      <c r="G6" s="245"/>
      <c r="H6" s="245"/>
      <c r="J6" s="209"/>
      <c r="K6" s="209"/>
      <c r="L6" s="209"/>
      <c r="M6" s="209"/>
      <c r="N6" s="209"/>
      <c r="O6" s="209"/>
    </row>
    <row r="7" spans="1:20" x14ac:dyDescent="0.3">
      <c r="A7" s="245"/>
      <c r="B7" s="245"/>
      <c r="C7" s="245"/>
      <c r="D7" s="245"/>
      <c r="E7" s="245"/>
      <c r="F7" s="245"/>
      <c r="G7" s="245"/>
      <c r="H7" s="245"/>
      <c r="J7" s="209"/>
      <c r="K7" s="209"/>
      <c r="L7" s="209"/>
      <c r="M7" s="209"/>
      <c r="N7" s="209"/>
      <c r="O7" s="209"/>
    </row>
    <row r="8" spans="1:20" x14ac:dyDescent="0.3">
      <c r="A8" s="245"/>
      <c r="B8" s="245"/>
      <c r="C8" s="245"/>
      <c r="D8" s="245"/>
      <c r="E8" s="245"/>
      <c r="F8" s="245"/>
      <c r="G8" s="245"/>
      <c r="H8" s="245"/>
      <c r="J8" s="209"/>
      <c r="K8" s="209"/>
      <c r="L8" s="209"/>
      <c r="M8" s="209"/>
      <c r="N8" s="209"/>
      <c r="O8" s="209"/>
    </row>
    <row r="9" spans="1:20" x14ac:dyDescent="0.3">
      <c r="A9" s="213" t="s">
        <v>393</v>
      </c>
      <c r="B9" s="209"/>
      <c r="C9" s="209"/>
      <c r="D9" s="209"/>
      <c r="E9" s="209"/>
      <c r="F9" s="209"/>
      <c r="G9" s="209"/>
      <c r="H9" s="209"/>
      <c r="J9" s="209"/>
      <c r="K9" s="209"/>
      <c r="L9" s="209"/>
      <c r="M9" s="209"/>
      <c r="N9" s="209"/>
      <c r="O9" s="209"/>
    </row>
    <row r="10" spans="1:20" x14ac:dyDescent="0.3">
      <c r="A10" s="104" t="s">
        <v>392</v>
      </c>
      <c r="B10" s="208"/>
      <c r="C10" s="208"/>
      <c r="D10" s="208"/>
      <c r="E10" s="208"/>
      <c r="F10" s="208"/>
      <c r="G10" s="208"/>
      <c r="H10" s="208"/>
      <c r="J10" s="209"/>
      <c r="K10" s="209"/>
      <c r="L10" s="209"/>
      <c r="M10" s="209"/>
      <c r="N10" s="209"/>
      <c r="O10" s="209"/>
    </row>
    <row r="11" spans="1:20" ht="21" x14ac:dyDescent="0.4">
      <c r="A11" s="68" t="s">
        <v>375</v>
      </c>
      <c r="B11" s="66"/>
      <c r="C11" s="66"/>
      <c r="D11" s="66"/>
      <c r="E11" s="66"/>
      <c r="F11" s="66"/>
      <c r="G11" s="66"/>
      <c r="H11" s="66"/>
      <c r="I11" s="66"/>
      <c r="J11" s="66"/>
      <c r="K11" s="66"/>
      <c r="L11" s="66"/>
      <c r="M11" s="66"/>
      <c r="N11" s="66"/>
      <c r="O11" s="66"/>
      <c r="P11" s="66"/>
      <c r="Q11" s="66"/>
      <c r="R11" s="66"/>
      <c r="S11" s="66"/>
      <c r="T11" s="66"/>
    </row>
    <row r="12" spans="1:20" x14ac:dyDescent="0.3">
      <c r="A12" s="244" t="s">
        <v>364</v>
      </c>
      <c r="B12" s="244"/>
      <c r="C12" s="244"/>
      <c r="D12" s="244"/>
      <c r="E12" s="244"/>
      <c r="F12" s="244"/>
      <c r="J12" s="209"/>
      <c r="K12" s="209"/>
      <c r="L12" s="209"/>
      <c r="M12" s="209"/>
      <c r="N12" s="209"/>
      <c r="O12" s="209"/>
    </row>
    <row r="13" spans="1:20" x14ac:dyDescent="0.3">
      <c r="A13" s="244" t="s">
        <v>365</v>
      </c>
      <c r="B13" s="244"/>
      <c r="C13" s="244"/>
      <c r="D13" s="244"/>
      <c r="E13" s="244"/>
      <c r="F13" s="244"/>
      <c r="J13" s="209"/>
      <c r="K13" s="209"/>
      <c r="L13" s="209"/>
      <c r="M13" s="209"/>
      <c r="N13" s="209"/>
      <c r="O13" s="209"/>
    </row>
    <row r="14" spans="1:20" x14ac:dyDescent="0.3">
      <c r="A14" s="244" t="s">
        <v>269</v>
      </c>
      <c r="B14" s="244"/>
      <c r="C14" s="244"/>
      <c r="D14" s="244"/>
      <c r="E14" s="244"/>
      <c r="F14" s="244"/>
      <c r="J14" s="209"/>
      <c r="K14" s="209"/>
      <c r="L14" s="209"/>
      <c r="M14" s="209"/>
      <c r="N14" s="209"/>
      <c r="O14" s="209"/>
    </row>
    <row r="15" spans="1:20" x14ac:dyDescent="0.3">
      <c r="A15" s="244" t="s">
        <v>366</v>
      </c>
      <c r="B15" s="244"/>
      <c r="C15" s="244"/>
      <c r="D15" s="244"/>
      <c r="E15" s="244"/>
      <c r="F15" s="244"/>
      <c r="J15" s="209"/>
      <c r="K15" s="209"/>
      <c r="L15" s="209"/>
      <c r="M15" s="209"/>
      <c r="N15" s="209"/>
      <c r="O15" s="209"/>
    </row>
    <row r="16" spans="1:20" x14ac:dyDescent="0.3">
      <c r="A16" s="244" t="s">
        <v>367</v>
      </c>
      <c r="B16" s="244"/>
      <c r="C16" s="244"/>
      <c r="D16" s="244"/>
      <c r="E16" s="244"/>
      <c r="F16" s="244"/>
    </row>
    <row r="17" spans="1:30" x14ac:dyDescent="0.3">
      <c r="A17" s="216"/>
      <c r="B17" s="216"/>
      <c r="C17" s="216"/>
      <c r="D17" s="216"/>
      <c r="E17" s="216"/>
      <c r="F17" s="216"/>
    </row>
    <row r="18" spans="1:30" ht="21" x14ac:dyDescent="0.4">
      <c r="A18" s="68" t="s">
        <v>403</v>
      </c>
      <c r="B18" s="66"/>
      <c r="C18" s="66"/>
      <c r="D18" s="66"/>
      <c r="E18" s="66"/>
      <c r="F18" s="66"/>
      <c r="G18" s="66"/>
      <c r="H18" s="66"/>
      <c r="I18" s="66"/>
      <c r="J18" s="66"/>
      <c r="K18" s="66"/>
      <c r="L18" s="66"/>
      <c r="M18" s="66"/>
      <c r="N18" s="66"/>
      <c r="O18" s="66"/>
      <c r="P18" s="66"/>
      <c r="Q18" s="66"/>
      <c r="R18" s="66"/>
      <c r="S18" s="66"/>
      <c r="T18" s="66"/>
    </row>
    <row r="19" spans="1:30" x14ac:dyDescent="0.3">
      <c r="A19" s="88"/>
      <c r="B19" s="88"/>
      <c r="C19" s="88"/>
      <c r="D19" s="88"/>
      <c r="E19" s="88"/>
      <c r="F19" s="88"/>
    </row>
    <row r="20" spans="1:30" ht="21" x14ac:dyDescent="0.4">
      <c r="C20" s="231" t="s">
        <v>405</v>
      </c>
      <c r="D20" s="124">
        <v>2024</v>
      </c>
      <c r="F20" s="88"/>
    </row>
    <row r="21" spans="1:30" x14ac:dyDescent="0.3">
      <c r="J21" s="1" t="s">
        <v>401</v>
      </c>
    </row>
    <row r="22" spans="1:30" ht="43.2" x14ac:dyDescent="0.3">
      <c r="A22" s="7"/>
      <c r="B22" s="241" t="s">
        <v>376</v>
      </c>
      <c r="C22" s="242"/>
      <c r="D22" s="241" t="s">
        <v>377</v>
      </c>
      <c r="E22" s="242"/>
      <c r="F22" s="87" t="s">
        <v>351</v>
      </c>
      <c r="G22" s="87" t="s">
        <v>352</v>
      </c>
      <c r="H22" s="87" t="s">
        <v>360</v>
      </c>
      <c r="I22" s="48"/>
      <c r="J22" s="169"/>
      <c r="K22" s="170" t="s">
        <v>267</v>
      </c>
      <c r="L22" s="171"/>
      <c r="M22" s="171"/>
      <c r="N22" s="171"/>
      <c r="O22" s="171"/>
      <c r="P22" s="171"/>
      <c r="Q22" s="171"/>
      <c r="R22" s="171"/>
      <c r="S22" s="171"/>
      <c r="T22" s="172"/>
    </row>
    <row r="23" spans="1:30" ht="28.8" x14ac:dyDescent="0.3">
      <c r="A23" s="49" t="s">
        <v>51</v>
      </c>
      <c r="B23" s="87" t="s">
        <v>52</v>
      </c>
      <c r="C23" s="70" t="s">
        <v>53</v>
      </c>
      <c r="D23" s="87" t="s">
        <v>52</v>
      </c>
      <c r="E23" s="70" t="s">
        <v>53</v>
      </c>
      <c r="F23" s="87" t="s">
        <v>54</v>
      </c>
      <c r="G23" s="87" t="s">
        <v>54</v>
      </c>
      <c r="H23" s="87" t="s">
        <v>54</v>
      </c>
      <c r="I23" s="48"/>
      <c r="J23" s="173" t="s">
        <v>268</v>
      </c>
      <c r="K23" s="174" t="s">
        <v>266</v>
      </c>
      <c r="L23" s="175" t="s">
        <v>257</v>
      </c>
      <c r="M23" s="175" t="s">
        <v>258</v>
      </c>
      <c r="N23" s="175" t="s">
        <v>259</v>
      </c>
      <c r="O23" s="175" t="s">
        <v>260</v>
      </c>
      <c r="P23" s="175" t="s">
        <v>261</v>
      </c>
      <c r="Q23" s="175" t="s">
        <v>262</v>
      </c>
      <c r="R23" s="175" t="s">
        <v>263</v>
      </c>
      <c r="S23" s="175" t="s">
        <v>264</v>
      </c>
      <c r="T23" s="176" t="s">
        <v>265</v>
      </c>
      <c r="W23"/>
      <c r="X23" s="75"/>
      <c r="Y23" s="75"/>
      <c r="Z23" s="75"/>
      <c r="AA23" s="75"/>
      <c r="AB23" s="75"/>
      <c r="AC23" s="75"/>
      <c r="AD23" s="75"/>
    </row>
    <row r="24" spans="1:30" x14ac:dyDescent="0.3">
      <c r="A24" s="71" t="s">
        <v>342</v>
      </c>
      <c r="B24" s="144"/>
      <c r="C24" s="214"/>
      <c r="D24" s="144"/>
      <c r="E24" s="214"/>
      <c r="F24" s="135">
        <f>B24*Reference!D40</f>
        <v>0</v>
      </c>
      <c r="G24" s="129">
        <f>D24*Reference!D40</f>
        <v>0</v>
      </c>
      <c r="H24" s="136">
        <f>F24-G24</f>
        <v>0</v>
      </c>
      <c r="I24" s="7"/>
      <c r="J24" s="177"/>
      <c r="K24" s="178">
        <f>D20</f>
        <v>2024</v>
      </c>
      <c r="L24" s="178">
        <f>K24+1</f>
        <v>2025</v>
      </c>
      <c r="M24" s="178">
        <f>L24+1</f>
        <v>2026</v>
      </c>
      <c r="N24" s="178">
        <f>M24+1</f>
        <v>2027</v>
      </c>
      <c r="O24" s="178">
        <f t="shared" ref="O24:T24" si="0">N24+1</f>
        <v>2028</v>
      </c>
      <c r="P24" s="178">
        <f t="shared" si="0"/>
        <v>2029</v>
      </c>
      <c r="Q24" s="178">
        <f t="shared" si="0"/>
        <v>2030</v>
      </c>
      <c r="R24" s="178">
        <f t="shared" si="0"/>
        <v>2031</v>
      </c>
      <c r="S24" s="178">
        <f t="shared" si="0"/>
        <v>2032</v>
      </c>
      <c r="T24" s="179">
        <f t="shared" si="0"/>
        <v>2033</v>
      </c>
      <c r="U24" s="75"/>
      <c r="V24" s="75"/>
      <c r="W24"/>
      <c r="X24" s="77"/>
      <c r="Y24" s="77"/>
      <c r="Z24" s="77"/>
      <c r="AA24" s="77"/>
      <c r="AB24" s="77"/>
      <c r="AC24" s="77"/>
      <c r="AD24" s="77"/>
    </row>
    <row r="25" spans="1:30" x14ac:dyDescent="0.3">
      <c r="A25" s="71"/>
      <c r="B25" s="145"/>
      <c r="C25" s="214"/>
      <c r="D25" s="145"/>
      <c r="E25" s="214"/>
      <c r="F25" s="137"/>
      <c r="G25" s="38"/>
      <c r="H25" s="138"/>
      <c r="I25" s="7"/>
      <c r="J25" s="227" t="s">
        <v>339</v>
      </c>
      <c r="K25" s="230">
        <f>$F$38</f>
        <v>0</v>
      </c>
      <c r="L25" s="230">
        <f t="shared" ref="L25:T25" si="1">$F$38</f>
        <v>0</v>
      </c>
      <c r="M25" s="230">
        <f t="shared" si="1"/>
        <v>0</v>
      </c>
      <c r="N25" s="230">
        <f t="shared" si="1"/>
        <v>0</v>
      </c>
      <c r="O25" s="230">
        <f t="shared" si="1"/>
        <v>0</v>
      </c>
      <c r="P25" s="230">
        <f t="shared" si="1"/>
        <v>0</v>
      </c>
      <c r="Q25" s="230">
        <f t="shared" si="1"/>
        <v>0</v>
      </c>
      <c r="R25" s="230">
        <f t="shared" si="1"/>
        <v>0</v>
      </c>
      <c r="S25" s="230">
        <f t="shared" si="1"/>
        <v>0</v>
      </c>
      <c r="T25" s="230">
        <f t="shared" si="1"/>
        <v>0</v>
      </c>
      <c r="U25" s="75"/>
      <c r="V25" s="75"/>
      <c r="W25"/>
      <c r="X25" s="77"/>
      <c r="Y25" s="77"/>
      <c r="Z25" s="77"/>
      <c r="AA25" s="77"/>
      <c r="AB25" s="77"/>
      <c r="AC25" s="77"/>
      <c r="AD25" s="77"/>
    </row>
    <row r="26" spans="1:30" ht="28.8" x14ac:dyDescent="0.3">
      <c r="A26" s="71" t="s">
        <v>343</v>
      </c>
      <c r="B26" s="144"/>
      <c r="C26" s="215"/>
      <c r="D26" s="144"/>
      <c r="E26" s="215"/>
      <c r="F26" s="139">
        <f>(B26-(B26*$C26))*Reference!D42</f>
        <v>0</v>
      </c>
      <c r="G26" s="130">
        <f>(D26-(D26*$E26))*Reference!D42</f>
        <v>0</v>
      </c>
      <c r="H26" s="140">
        <f>F26-G26</f>
        <v>0</v>
      </c>
      <c r="I26" s="7"/>
      <c r="J26" s="229" t="s">
        <v>340</v>
      </c>
      <c r="K26" s="230">
        <f>$G$38</f>
        <v>0</v>
      </c>
      <c r="L26" s="230">
        <f t="shared" ref="L26:T26" si="2">$G$38</f>
        <v>0</v>
      </c>
      <c r="M26" s="230">
        <f t="shared" si="2"/>
        <v>0</v>
      </c>
      <c r="N26" s="230">
        <f t="shared" si="2"/>
        <v>0</v>
      </c>
      <c r="O26" s="230">
        <f t="shared" si="2"/>
        <v>0</v>
      </c>
      <c r="P26" s="230">
        <f t="shared" si="2"/>
        <v>0</v>
      </c>
      <c r="Q26" s="230">
        <f t="shared" si="2"/>
        <v>0</v>
      </c>
      <c r="R26" s="230">
        <f t="shared" si="2"/>
        <v>0</v>
      </c>
      <c r="S26" s="230">
        <f t="shared" si="2"/>
        <v>0</v>
      </c>
      <c r="T26" s="230">
        <f t="shared" si="2"/>
        <v>0</v>
      </c>
      <c r="U26" s="77"/>
      <c r="V26" s="77"/>
      <c r="W26" s="77"/>
    </row>
    <row r="27" spans="1:30" x14ac:dyDescent="0.3">
      <c r="A27" s="71"/>
      <c r="B27" s="145"/>
      <c r="C27" s="214"/>
      <c r="D27" s="145"/>
      <c r="E27" s="214"/>
      <c r="F27" s="137"/>
      <c r="G27" s="38"/>
      <c r="H27" s="138"/>
      <c r="I27" s="7"/>
      <c r="J27" s="229" t="s">
        <v>341</v>
      </c>
      <c r="K27" s="230">
        <f>$H$38</f>
        <v>0</v>
      </c>
      <c r="L27" s="230">
        <f>$H$38+K27</f>
        <v>0</v>
      </c>
      <c r="M27" s="230">
        <f t="shared" ref="M27:T27" si="3">$H$38+L27</f>
        <v>0</v>
      </c>
      <c r="N27" s="230">
        <f t="shared" si="3"/>
        <v>0</v>
      </c>
      <c r="O27" s="230">
        <f t="shared" si="3"/>
        <v>0</v>
      </c>
      <c r="P27" s="230">
        <f t="shared" si="3"/>
        <v>0</v>
      </c>
      <c r="Q27" s="230">
        <f t="shared" si="3"/>
        <v>0</v>
      </c>
      <c r="R27" s="230">
        <f t="shared" si="3"/>
        <v>0</v>
      </c>
      <c r="S27" s="230">
        <f t="shared" si="3"/>
        <v>0</v>
      </c>
      <c r="T27" s="230">
        <f t="shared" si="3"/>
        <v>0</v>
      </c>
      <c r="U27" s="77"/>
      <c r="V27" s="77"/>
      <c r="W27"/>
      <c r="X27"/>
    </row>
    <row r="28" spans="1:30" x14ac:dyDescent="0.3">
      <c r="A28" s="168" t="s">
        <v>344</v>
      </c>
      <c r="B28" s="144"/>
      <c r="C28" s="214"/>
      <c r="D28" s="144"/>
      <c r="E28" s="214"/>
      <c r="F28" s="139">
        <f>B28*WA_Elect_MT_CO2_kWh</f>
        <v>0</v>
      </c>
      <c r="G28" s="130">
        <f>D28*WA_Elect_MT_CO2_kWh</f>
        <v>0</v>
      </c>
      <c r="H28" s="140">
        <f>F28-G28</f>
        <v>0</v>
      </c>
      <c r="I28" s="7"/>
      <c r="J28" s="7"/>
      <c r="V28"/>
    </row>
    <row r="29" spans="1:30" x14ac:dyDescent="0.3">
      <c r="A29" s="71"/>
      <c r="B29" s="145"/>
      <c r="C29" s="214"/>
      <c r="D29" s="145"/>
      <c r="E29" s="214"/>
      <c r="F29" s="137"/>
      <c r="G29" s="38"/>
      <c r="H29" s="138"/>
      <c r="I29" s="7"/>
    </row>
    <row r="30" spans="1:30" ht="28.8" x14ac:dyDescent="0.3">
      <c r="A30" s="71" t="s">
        <v>345</v>
      </c>
      <c r="B30" s="144"/>
      <c r="C30" s="214"/>
      <c r="D30" s="144"/>
      <c r="E30" s="214"/>
      <c r="F30" s="135">
        <f>B30*Reference!D15</f>
        <v>0</v>
      </c>
      <c r="G30" s="129">
        <f>D30*Reference!D15</f>
        <v>0</v>
      </c>
      <c r="H30" s="136">
        <f>F30-G30</f>
        <v>0</v>
      </c>
      <c r="I30" s="7"/>
    </row>
    <row r="31" spans="1:30" x14ac:dyDescent="0.3">
      <c r="A31" s="71"/>
      <c r="B31" s="145"/>
      <c r="C31" s="214"/>
      <c r="D31" s="145"/>
      <c r="E31" s="214"/>
      <c r="F31" s="137"/>
      <c r="G31" s="38"/>
      <c r="H31" s="138"/>
      <c r="I31" s="7"/>
    </row>
    <row r="32" spans="1:30" ht="28.8" x14ac:dyDescent="0.3">
      <c r="A32" s="71" t="s">
        <v>346</v>
      </c>
      <c r="B32" s="144"/>
      <c r="C32" s="214"/>
      <c r="D32" s="144"/>
      <c r="E32" s="214"/>
      <c r="F32" s="135">
        <f>B32*Reference!D45</f>
        <v>0</v>
      </c>
      <c r="G32" s="129">
        <f>D32*Reference!D45</f>
        <v>0</v>
      </c>
      <c r="H32" s="136">
        <f>F32-G32</f>
        <v>0</v>
      </c>
      <c r="I32" s="7"/>
    </row>
    <row r="33" spans="1:24" x14ac:dyDescent="0.3">
      <c r="A33" s="71" t="s">
        <v>347</v>
      </c>
      <c r="B33" s="144"/>
      <c r="C33" s="214"/>
      <c r="D33" s="144"/>
      <c r="E33" s="214"/>
      <c r="F33" s="135">
        <f>B33*Reference!D21</f>
        <v>0</v>
      </c>
      <c r="G33" s="129">
        <f>D33*Reference!D21</f>
        <v>0</v>
      </c>
      <c r="H33" s="136">
        <f t="shared" ref="H33:H36" si="4">F33-G33</f>
        <v>0</v>
      </c>
      <c r="I33" s="7"/>
    </row>
    <row r="34" spans="1:24" x14ac:dyDescent="0.3">
      <c r="A34" s="71" t="s">
        <v>348</v>
      </c>
      <c r="B34" s="144"/>
      <c r="C34" s="214"/>
      <c r="D34" s="144"/>
      <c r="E34" s="214"/>
      <c r="F34" s="135">
        <f>B34*Reference!D46</f>
        <v>0</v>
      </c>
      <c r="G34" s="129">
        <f>D34*Reference!D46</f>
        <v>0</v>
      </c>
      <c r="H34" s="136">
        <f t="shared" si="4"/>
        <v>0</v>
      </c>
      <c r="I34" s="7"/>
    </row>
    <row r="35" spans="1:24" x14ac:dyDescent="0.3">
      <c r="A35" s="71" t="s">
        <v>349</v>
      </c>
      <c r="B35" s="144"/>
      <c r="C35" s="214"/>
      <c r="D35" s="144"/>
      <c r="E35" s="214"/>
      <c r="F35" s="135">
        <f>B35*Reference!D20</f>
        <v>0</v>
      </c>
      <c r="G35" s="129">
        <f>D35*Reference!D20</f>
        <v>0</v>
      </c>
      <c r="H35" s="136">
        <f t="shared" si="4"/>
        <v>0</v>
      </c>
      <c r="I35" s="7"/>
    </row>
    <row r="36" spans="1:24" ht="28.8" x14ac:dyDescent="0.3">
      <c r="A36" s="71" t="s">
        <v>350</v>
      </c>
      <c r="B36" s="146"/>
      <c r="C36" s="225"/>
      <c r="D36" s="146"/>
      <c r="E36" s="225"/>
      <c r="F36" s="141">
        <f>B36*Reference!D32</f>
        <v>0</v>
      </c>
      <c r="G36" s="142">
        <f>D36*Reference!D32</f>
        <v>0</v>
      </c>
      <c r="H36" s="143">
        <f t="shared" si="4"/>
        <v>0</v>
      </c>
      <c r="I36" s="7"/>
    </row>
    <row r="37" spans="1:24" x14ac:dyDescent="0.3">
      <c r="A37" s="7"/>
      <c r="B37" s="6"/>
      <c r="C37" s="7"/>
      <c r="D37" s="6"/>
      <c r="E37" s="7"/>
      <c r="F37" s="41"/>
      <c r="G37" s="41"/>
      <c r="H37" s="41"/>
      <c r="I37" s="7"/>
    </row>
    <row r="38" spans="1:24" ht="21" x14ac:dyDescent="0.4">
      <c r="E38" s="51"/>
      <c r="F38" s="128">
        <f>SUM(F24:F37)</f>
        <v>0</v>
      </c>
      <c r="G38" s="128">
        <f>SUM(G24:G37)</f>
        <v>0</v>
      </c>
      <c r="H38" s="123">
        <v>0</v>
      </c>
      <c r="I38" s="58" t="s">
        <v>353</v>
      </c>
    </row>
    <row r="39" spans="1:24" ht="21" x14ac:dyDescent="0.4">
      <c r="A39"/>
      <c r="B39"/>
      <c r="C39"/>
      <c r="D39"/>
      <c r="E39" s="51"/>
      <c r="F39" s="48"/>
      <c r="G39" s="48"/>
      <c r="H39" s="122">
        <f>T27</f>
        <v>0</v>
      </c>
      <c r="I39" s="58" t="s">
        <v>356</v>
      </c>
    </row>
    <row r="40" spans="1:24" customFormat="1" x14ac:dyDescent="0.3"/>
    <row r="41" spans="1:24" customFormat="1" x14ac:dyDescent="0.3"/>
    <row r="42" spans="1:24" ht="21" x14ac:dyDescent="0.4">
      <c r="D42" s="6"/>
      <c r="E42" s="7"/>
      <c r="F42" s="8"/>
      <c r="G42" s="8"/>
      <c r="H42" s="8"/>
      <c r="I42" s="58"/>
    </row>
    <row r="43" spans="1:24" ht="21" x14ac:dyDescent="0.4">
      <c r="D43" s="6"/>
      <c r="E43" s="7"/>
      <c r="F43" s="8"/>
      <c r="G43" s="8"/>
      <c r="H43" s="8"/>
      <c r="I43" s="58"/>
    </row>
    <row r="44" spans="1:24" ht="21" x14ac:dyDescent="0.4">
      <c r="A44" s="68" t="s">
        <v>251</v>
      </c>
      <c r="B44" s="66"/>
      <c r="C44" s="67"/>
      <c r="D44" s="66"/>
      <c r="E44" s="66"/>
      <c r="F44" s="66"/>
      <c r="G44" s="66"/>
      <c r="H44" s="66"/>
      <c r="I44" s="66"/>
      <c r="J44" s="66"/>
      <c r="K44" s="66"/>
      <c r="L44" s="66"/>
      <c r="M44" s="66"/>
      <c r="N44" s="66"/>
      <c r="O44" s="66"/>
      <c r="P44" s="66"/>
      <c r="Q44" s="66"/>
      <c r="R44" s="66"/>
      <c r="S44" s="66"/>
      <c r="T44" s="66"/>
    </row>
    <row r="45" spans="1:24" customFormat="1" x14ac:dyDescent="0.3">
      <c r="A45" t="s">
        <v>404</v>
      </c>
    </row>
    <row r="46" spans="1:24" customFormat="1" x14ac:dyDescent="0.3"/>
    <row r="47" spans="1:24" customFormat="1" x14ac:dyDescent="0.3">
      <c r="A47" s="1" t="s">
        <v>236</v>
      </c>
      <c r="I47" s="7"/>
      <c r="J47" s="1" t="s">
        <v>402</v>
      </c>
      <c r="K47" s="2"/>
      <c r="L47" s="2"/>
      <c r="M47" s="2"/>
      <c r="N47" s="2"/>
      <c r="O47" s="2"/>
      <c r="P47" s="2"/>
      <c r="Q47" s="2"/>
      <c r="R47" s="2"/>
      <c r="S47" s="2"/>
      <c r="T47" s="2"/>
      <c r="U47" s="2"/>
      <c r="V47" s="2"/>
      <c r="W47" s="2"/>
      <c r="X47" s="2"/>
    </row>
    <row r="48" spans="1:24" ht="43.2" x14ac:dyDescent="0.3">
      <c r="B48" s="147" t="s">
        <v>235</v>
      </c>
      <c r="C48" s="148" t="s">
        <v>237</v>
      </c>
      <c r="D48" s="87" t="s">
        <v>361</v>
      </c>
      <c r="E48" s="87" t="s">
        <v>362</v>
      </c>
      <c r="F48" s="87" t="s">
        <v>363</v>
      </c>
      <c r="H48"/>
      <c r="J48" s="169"/>
      <c r="K48" s="170" t="s">
        <v>267</v>
      </c>
      <c r="L48" s="171"/>
      <c r="M48" s="171"/>
      <c r="N48" s="171"/>
      <c r="O48" s="171"/>
      <c r="P48" s="171"/>
      <c r="Q48" s="171"/>
      <c r="R48" s="171"/>
      <c r="S48" s="171"/>
      <c r="T48" s="172"/>
    </row>
    <row r="49" spans="1:24" x14ac:dyDescent="0.3">
      <c r="B49" s="150"/>
      <c r="C49" s="151"/>
      <c r="D49" s="153"/>
      <c r="E49" s="48"/>
      <c r="F49" s="154"/>
      <c r="H49"/>
      <c r="I49"/>
      <c r="J49" s="173" t="s">
        <v>357</v>
      </c>
      <c r="K49" s="174" t="s">
        <v>266</v>
      </c>
      <c r="L49" s="175" t="s">
        <v>257</v>
      </c>
      <c r="M49" s="175" t="s">
        <v>258</v>
      </c>
      <c r="N49" s="175" t="s">
        <v>259</v>
      </c>
      <c r="O49" s="175" t="s">
        <v>260</v>
      </c>
      <c r="P49" s="175" t="s">
        <v>261</v>
      </c>
      <c r="Q49" s="175" t="s">
        <v>262</v>
      </c>
      <c r="R49" s="175" t="s">
        <v>263</v>
      </c>
      <c r="S49" s="175" t="s">
        <v>264</v>
      </c>
      <c r="T49" s="176" t="s">
        <v>265</v>
      </c>
      <c r="X49"/>
    </row>
    <row r="50" spans="1:24" x14ac:dyDescent="0.3">
      <c r="A50" s="72" t="s">
        <v>368</v>
      </c>
      <c r="B50" s="149">
        <f>Reference!B95</f>
        <v>8.0445423000000002E-2</v>
      </c>
      <c r="C50" s="155">
        <f>B28-D28</f>
        <v>0</v>
      </c>
      <c r="D50" s="132">
        <f>B50*B28</f>
        <v>0</v>
      </c>
      <c r="E50" s="131">
        <f>B50*D28</f>
        <v>0</v>
      </c>
      <c r="F50" s="133">
        <f>D50-E50</f>
        <v>0</v>
      </c>
      <c r="I50"/>
      <c r="J50" s="177"/>
      <c r="K50" s="178">
        <f>D20</f>
        <v>2024</v>
      </c>
      <c r="L50" s="178">
        <f>K50+1</f>
        <v>2025</v>
      </c>
      <c r="M50" s="178">
        <f>L50+1</f>
        <v>2026</v>
      </c>
      <c r="N50" s="178">
        <f>M50+1</f>
        <v>2027</v>
      </c>
      <c r="O50" s="178">
        <f t="shared" ref="O50" si="5">N50+1</f>
        <v>2028</v>
      </c>
      <c r="P50" s="178">
        <f t="shared" ref="P50" si="6">O50+1</f>
        <v>2029</v>
      </c>
      <c r="Q50" s="178">
        <f t="shared" ref="Q50" si="7">P50+1</f>
        <v>2030</v>
      </c>
      <c r="R50" s="178">
        <f t="shared" ref="R50" si="8">Q50+1</f>
        <v>2031</v>
      </c>
      <c r="S50" s="178">
        <f t="shared" ref="S50" si="9">R50+1</f>
        <v>2032</v>
      </c>
      <c r="T50" s="179">
        <f t="shared" ref="T50" si="10">S50+1</f>
        <v>2033</v>
      </c>
    </row>
    <row r="51" spans="1:24" x14ac:dyDescent="0.3">
      <c r="A51" s="61"/>
      <c r="B51" s="156"/>
      <c r="C51" s="157"/>
      <c r="D51" s="158"/>
      <c r="E51" s="159"/>
      <c r="F51" s="160"/>
      <c r="I51"/>
      <c r="J51" s="227" t="s">
        <v>358</v>
      </c>
      <c r="K51" s="228">
        <f>$D$67</f>
        <v>0</v>
      </c>
      <c r="L51" s="228">
        <f t="shared" ref="L51:T51" si="11">$D$67</f>
        <v>0</v>
      </c>
      <c r="M51" s="228">
        <f t="shared" si="11"/>
        <v>0</v>
      </c>
      <c r="N51" s="228">
        <f t="shared" si="11"/>
        <v>0</v>
      </c>
      <c r="O51" s="228">
        <f t="shared" si="11"/>
        <v>0</v>
      </c>
      <c r="P51" s="228">
        <f t="shared" si="11"/>
        <v>0</v>
      </c>
      <c r="Q51" s="228">
        <f t="shared" si="11"/>
        <v>0</v>
      </c>
      <c r="R51" s="228">
        <f t="shared" si="11"/>
        <v>0</v>
      </c>
      <c r="S51" s="228">
        <f t="shared" si="11"/>
        <v>0</v>
      </c>
      <c r="T51" s="228">
        <f t="shared" si="11"/>
        <v>0</v>
      </c>
      <c r="U51"/>
    </row>
    <row r="52" spans="1:24" ht="28.8" x14ac:dyDescent="0.3">
      <c r="A52" s="1" t="s">
        <v>238</v>
      </c>
      <c r="B52" s="150" t="s">
        <v>241</v>
      </c>
      <c r="C52" s="151" t="s">
        <v>242</v>
      </c>
      <c r="D52" s="158"/>
      <c r="E52" s="159"/>
      <c r="F52" s="160"/>
      <c r="G52"/>
      <c r="J52" s="229" t="s">
        <v>359</v>
      </c>
      <c r="K52" s="228">
        <f>$E$67</f>
        <v>0</v>
      </c>
      <c r="L52" s="228">
        <f t="shared" ref="L52:T52" si="12">$E$67</f>
        <v>0</v>
      </c>
      <c r="M52" s="228">
        <f t="shared" si="12"/>
        <v>0</v>
      </c>
      <c r="N52" s="228">
        <f t="shared" si="12"/>
        <v>0</v>
      </c>
      <c r="O52" s="228">
        <f t="shared" si="12"/>
        <v>0</v>
      </c>
      <c r="P52" s="228">
        <f t="shared" si="12"/>
        <v>0</v>
      </c>
      <c r="Q52" s="228">
        <f t="shared" si="12"/>
        <v>0</v>
      </c>
      <c r="R52" s="228">
        <f t="shared" si="12"/>
        <v>0</v>
      </c>
      <c r="S52" s="228">
        <f t="shared" si="12"/>
        <v>0</v>
      </c>
      <c r="T52" s="228">
        <f t="shared" si="12"/>
        <v>0</v>
      </c>
      <c r="U52"/>
    </row>
    <row r="53" spans="1:24" x14ac:dyDescent="0.3">
      <c r="A53" s="72" t="s">
        <v>369</v>
      </c>
      <c r="B53" s="149">
        <f>Reference!F95</f>
        <v>0.84474445515911289</v>
      </c>
      <c r="C53" s="161">
        <f>B30-D30</f>
        <v>0</v>
      </c>
      <c r="D53" s="162">
        <f>B53*B30</f>
        <v>0</v>
      </c>
      <c r="E53" s="163">
        <f>B53*D30</f>
        <v>0</v>
      </c>
      <c r="F53" s="133">
        <f t="shared" ref="F53:F65" si="13">D53-E53</f>
        <v>0</v>
      </c>
      <c r="G53"/>
      <c r="H53"/>
      <c r="J53" s="229" t="s">
        <v>406</v>
      </c>
      <c r="K53" s="228">
        <f>$F$67</f>
        <v>0</v>
      </c>
      <c r="L53" s="228">
        <f>$K$53+K53</f>
        <v>0</v>
      </c>
      <c r="M53" s="228">
        <f t="shared" ref="M53:T53" si="14">$K$53+L53</f>
        <v>0</v>
      </c>
      <c r="N53" s="228">
        <f t="shared" si="14"/>
        <v>0</v>
      </c>
      <c r="O53" s="228">
        <f t="shared" si="14"/>
        <v>0</v>
      </c>
      <c r="P53" s="228">
        <f t="shared" si="14"/>
        <v>0</v>
      </c>
      <c r="Q53" s="228">
        <f t="shared" si="14"/>
        <v>0</v>
      </c>
      <c r="R53" s="228">
        <f t="shared" si="14"/>
        <v>0</v>
      </c>
      <c r="S53" s="228">
        <f t="shared" si="14"/>
        <v>0</v>
      </c>
      <c r="T53" s="228">
        <f t="shared" si="14"/>
        <v>0</v>
      </c>
    </row>
    <row r="54" spans="1:24" x14ac:dyDescent="0.3">
      <c r="B54" s="156"/>
      <c r="C54" s="157"/>
      <c r="D54" s="158"/>
      <c r="E54" s="159"/>
      <c r="F54" s="160"/>
      <c r="G54"/>
      <c r="H54"/>
    </row>
    <row r="55" spans="1:24" x14ac:dyDescent="0.3">
      <c r="A55" s="1" t="s">
        <v>370</v>
      </c>
      <c r="B55" s="156"/>
      <c r="C55" s="157"/>
      <c r="D55" s="158"/>
      <c r="E55" s="159"/>
      <c r="F55" s="160"/>
      <c r="I55"/>
    </row>
    <row r="56" spans="1:24" x14ac:dyDescent="0.3">
      <c r="B56" s="150" t="s">
        <v>239</v>
      </c>
      <c r="C56" s="151" t="s">
        <v>240</v>
      </c>
      <c r="D56" s="158"/>
      <c r="E56" s="159"/>
      <c r="F56" s="160"/>
      <c r="I56"/>
    </row>
    <row r="57" spans="1:24" x14ac:dyDescent="0.3">
      <c r="A57" s="61" t="s">
        <v>16</v>
      </c>
      <c r="B57" s="149">
        <f>Reference!E102</f>
        <v>3.87</v>
      </c>
      <c r="C57" s="161">
        <f>B24-D24</f>
        <v>0</v>
      </c>
      <c r="D57" s="162">
        <f>B57*B24</f>
        <v>0</v>
      </c>
      <c r="E57" s="163">
        <f>B57*D24</f>
        <v>0</v>
      </c>
      <c r="F57" s="133">
        <f t="shared" si="13"/>
        <v>0</v>
      </c>
    </row>
    <row r="58" spans="1:24" x14ac:dyDescent="0.3">
      <c r="A58" s="61" t="s">
        <v>22</v>
      </c>
      <c r="B58" s="149">
        <f>Reference!E103</f>
        <v>2.76</v>
      </c>
      <c r="C58" s="164">
        <f>B26-D26</f>
        <v>0</v>
      </c>
      <c r="D58" s="162">
        <f>B58*B26</f>
        <v>0</v>
      </c>
      <c r="E58" s="163">
        <f>B58*D26</f>
        <v>0</v>
      </c>
      <c r="F58" s="133">
        <f t="shared" si="13"/>
        <v>0</v>
      </c>
    </row>
    <row r="59" spans="1:24" x14ac:dyDescent="0.3">
      <c r="A59" s="71" t="s">
        <v>371</v>
      </c>
      <c r="B59" s="149">
        <f>Reference!E104</f>
        <v>3.49</v>
      </c>
      <c r="C59" s="164">
        <f>B32-D32</f>
        <v>0</v>
      </c>
      <c r="D59" s="162">
        <f>B59*B32</f>
        <v>0</v>
      </c>
      <c r="E59" s="163">
        <f>B59*D32</f>
        <v>0</v>
      </c>
      <c r="F59" s="133">
        <f t="shared" si="13"/>
        <v>0</v>
      </c>
    </row>
    <row r="60" spans="1:24" x14ac:dyDescent="0.3">
      <c r="A60" s="71" t="s">
        <v>372</v>
      </c>
      <c r="B60" s="149">
        <f>Reference!E105</f>
        <v>3.33</v>
      </c>
      <c r="C60" s="164">
        <f>B33-D33</f>
        <v>0</v>
      </c>
      <c r="D60" s="162">
        <f>B60*B33</f>
        <v>0</v>
      </c>
      <c r="E60" s="163">
        <f>B60*D33</f>
        <v>0</v>
      </c>
      <c r="F60" s="133">
        <f t="shared" si="13"/>
        <v>0</v>
      </c>
    </row>
    <row r="61" spans="1:24" x14ac:dyDescent="0.3">
      <c r="A61" s="71" t="s">
        <v>330</v>
      </c>
      <c r="B61" s="149">
        <f>Reference!E106</f>
        <v>2.0070000000000001</v>
      </c>
      <c r="C61" s="164">
        <f>B34-D34</f>
        <v>0</v>
      </c>
      <c r="D61" s="162">
        <f>B61*B34</f>
        <v>0</v>
      </c>
      <c r="E61" s="163">
        <f>B61*D34</f>
        <v>0</v>
      </c>
      <c r="F61" s="133">
        <f t="shared" si="13"/>
        <v>0</v>
      </c>
      <c r="J61"/>
      <c r="K61"/>
      <c r="L61"/>
      <c r="M61"/>
      <c r="N61"/>
      <c r="O61"/>
      <c r="P61"/>
      <c r="Q61"/>
      <c r="R61"/>
      <c r="S61"/>
      <c r="T61"/>
    </row>
    <row r="62" spans="1:24" x14ac:dyDescent="0.3">
      <c r="A62" s="71" t="s">
        <v>373</v>
      </c>
      <c r="B62" s="149">
        <f>Reference!E107</f>
        <v>2.17</v>
      </c>
      <c r="C62" s="164">
        <f>B35-D35</f>
        <v>0</v>
      </c>
      <c r="D62" s="162">
        <f>B62*B35</f>
        <v>0</v>
      </c>
      <c r="E62" s="163">
        <f>B62*D35</f>
        <v>0</v>
      </c>
      <c r="F62" s="133">
        <f t="shared" si="13"/>
        <v>0</v>
      </c>
      <c r="J62"/>
      <c r="K62"/>
      <c r="L62"/>
      <c r="M62"/>
      <c r="N62"/>
      <c r="O62"/>
      <c r="P62"/>
      <c r="Q62"/>
      <c r="R62"/>
      <c r="S62"/>
      <c r="T62"/>
    </row>
    <row r="63" spans="1:24" x14ac:dyDescent="0.3">
      <c r="B63" s="156"/>
      <c r="C63" s="157"/>
      <c r="D63" s="158"/>
      <c r="E63" s="159"/>
      <c r="F63" s="160"/>
      <c r="J63"/>
      <c r="K63"/>
      <c r="L63"/>
      <c r="M63"/>
      <c r="N63"/>
      <c r="O63"/>
      <c r="P63"/>
      <c r="Q63"/>
      <c r="R63"/>
      <c r="S63"/>
      <c r="T63"/>
    </row>
    <row r="64" spans="1:24" x14ac:dyDescent="0.3">
      <c r="B64" s="156"/>
      <c r="C64" s="157"/>
      <c r="D64" s="158"/>
      <c r="E64" s="159"/>
      <c r="F64" s="160"/>
      <c r="J64"/>
      <c r="K64"/>
      <c r="L64"/>
      <c r="M64"/>
      <c r="N64"/>
      <c r="O64"/>
      <c r="P64"/>
      <c r="Q64"/>
      <c r="R64"/>
      <c r="S64"/>
      <c r="T64"/>
    </row>
    <row r="65" spans="1:24" ht="28.8" x14ac:dyDescent="0.3">
      <c r="A65" s="50" t="s">
        <v>338</v>
      </c>
      <c r="B65" s="152"/>
      <c r="C65" s="165">
        <f>B36-D36</f>
        <v>0</v>
      </c>
      <c r="D65" s="166">
        <f>B65*B36</f>
        <v>0</v>
      </c>
      <c r="E65" s="167">
        <f>B65*D36</f>
        <v>0</v>
      </c>
      <c r="F65" s="134">
        <f t="shared" si="13"/>
        <v>0</v>
      </c>
    </row>
    <row r="66" spans="1:24" customFormat="1" x14ac:dyDescent="0.3">
      <c r="F66" s="2"/>
      <c r="G66" s="2"/>
      <c r="I66" s="2"/>
      <c r="J66" s="2"/>
      <c r="K66" s="2"/>
      <c r="L66" s="2"/>
      <c r="M66" s="2"/>
      <c r="N66" s="2"/>
      <c r="O66" s="2"/>
      <c r="P66" s="2"/>
      <c r="Q66" s="2"/>
      <c r="R66" s="2"/>
      <c r="S66" s="2"/>
      <c r="T66" s="2"/>
      <c r="U66" s="2"/>
      <c r="V66" s="2"/>
      <c r="W66" s="2"/>
      <c r="X66" s="2"/>
    </row>
    <row r="67" spans="1:24" customFormat="1" ht="21" x14ac:dyDescent="0.4">
      <c r="B67" s="127"/>
      <c r="D67" s="128">
        <f>SUM(D50:D65)</f>
        <v>0</v>
      </c>
      <c r="E67" s="128">
        <f>SUM(E50:E65)</f>
        <v>0</v>
      </c>
      <c r="F67" s="125">
        <f>SUM(F50:F65)</f>
        <v>0</v>
      </c>
      <c r="G67" s="58" t="s">
        <v>354</v>
      </c>
      <c r="I67" s="2"/>
      <c r="J67" s="2"/>
      <c r="K67" s="2"/>
      <c r="L67" s="2"/>
      <c r="M67" s="2"/>
      <c r="N67" s="2"/>
      <c r="O67" s="2"/>
      <c r="P67" s="2"/>
      <c r="Q67" s="2"/>
      <c r="R67" s="2"/>
      <c r="S67" s="2"/>
      <c r="T67" s="2"/>
      <c r="U67" s="2"/>
      <c r="V67" s="2"/>
      <c r="W67" s="2"/>
      <c r="X67" s="2"/>
    </row>
    <row r="68" spans="1:24" customFormat="1" ht="21" x14ac:dyDescent="0.4">
      <c r="F68" s="126">
        <f>T53</f>
        <v>0</v>
      </c>
      <c r="G68" s="58" t="s">
        <v>355</v>
      </c>
      <c r="J68" s="2"/>
      <c r="K68" s="2"/>
      <c r="L68" s="2"/>
      <c r="M68" s="2"/>
      <c r="N68" s="2"/>
      <c r="O68" s="2"/>
      <c r="P68" s="2"/>
      <c r="Q68" s="2"/>
      <c r="R68" s="2"/>
      <c r="S68" s="2"/>
      <c r="T68" s="2"/>
      <c r="U68" s="2"/>
    </row>
    <row r="69" spans="1:24" customFormat="1" x14ac:dyDescent="0.3">
      <c r="J69" s="2"/>
      <c r="K69" s="2"/>
      <c r="L69" s="2"/>
      <c r="M69" s="2"/>
      <c r="N69" s="2"/>
      <c r="O69" s="2"/>
      <c r="P69" s="2"/>
      <c r="Q69" s="2"/>
      <c r="R69" s="2"/>
      <c r="S69" s="2"/>
      <c r="T69" s="2"/>
    </row>
    <row r="70" spans="1:24" x14ac:dyDescent="0.3">
      <c r="I70"/>
      <c r="U70"/>
      <c r="V70"/>
      <c r="W70"/>
      <c r="X70"/>
    </row>
    <row r="71" spans="1:24" x14ac:dyDescent="0.3">
      <c r="U71"/>
      <c r="V71"/>
      <c r="W71"/>
      <c r="X71"/>
    </row>
    <row r="72" spans="1:24" ht="21" x14ac:dyDescent="0.4">
      <c r="A72" s="69" t="s">
        <v>252</v>
      </c>
      <c r="B72" s="66"/>
      <c r="C72" s="66"/>
      <c r="D72" s="66"/>
      <c r="E72" s="66"/>
      <c r="F72" s="66"/>
      <c r="G72" s="66"/>
      <c r="H72" s="66"/>
      <c r="I72" s="66"/>
      <c r="J72" s="66"/>
      <c r="K72" s="66"/>
      <c r="L72" s="66"/>
      <c r="M72" s="66"/>
      <c r="N72" s="66"/>
      <c r="O72" s="66"/>
      <c r="P72" s="66"/>
      <c r="Q72" s="66"/>
      <c r="R72" s="66"/>
      <c r="S72" s="66"/>
      <c r="T72" s="66"/>
      <c r="U72"/>
    </row>
    <row r="73" spans="1:24" ht="18" x14ac:dyDescent="0.35">
      <c r="A73" s="233" t="s">
        <v>419</v>
      </c>
      <c r="B73" s="62"/>
      <c r="D73" s="226">
        <f>H38*Reference!B56</f>
        <v>0</v>
      </c>
      <c r="E73" s="63" t="s">
        <v>410</v>
      </c>
      <c r="G73" s="62"/>
    </row>
    <row r="74" spans="1:24" ht="18" x14ac:dyDescent="0.3">
      <c r="B74" s="63"/>
      <c r="C74" s="63"/>
      <c r="D74" s="226">
        <f>H38*Reference!B57</f>
        <v>0</v>
      </c>
      <c r="E74" s="63" t="s">
        <v>411</v>
      </c>
      <c r="G74" s="63"/>
    </row>
    <row r="76" spans="1:24" x14ac:dyDescent="0.3">
      <c r="A76" s="64" t="s">
        <v>253</v>
      </c>
      <c r="B76" s="64"/>
      <c r="C76" s="64"/>
      <c r="D76" s="65" t="s">
        <v>244</v>
      </c>
      <c r="E76" s="64"/>
      <c r="G76" s="64"/>
      <c r="H76" s="64"/>
      <c r="I76" s="63"/>
    </row>
    <row r="77" spans="1:24" x14ac:dyDescent="0.3">
      <c r="A77" s="64" t="s">
        <v>246</v>
      </c>
      <c r="B77" s="64"/>
      <c r="C77" s="64"/>
      <c r="D77" s="65" t="s">
        <v>245</v>
      </c>
      <c r="E77" s="64"/>
      <c r="G77" s="64"/>
      <c r="H77" s="64"/>
      <c r="I77" s="63"/>
    </row>
    <row r="78" spans="1:24" x14ac:dyDescent="0.3">
      <c r="A78" s="64" t="s">
        <v>248</v>
      </c>
      <c r="B78" s="64"/>
      <c r="C78" s="64"/>
      <c r="D78" s="65" t="s">
        <v>247</v>
      </c>
      <c r="E78" s="64"/>
      <c r="G78" s="64"/>
      <c r="H78" s="64"/>
      <c r="I78" s="64"/>
    </row>
  </sheetData>
  <mergeCells count="10">
    <mergeCell ref="B22:C22"/>
    <mergeCell ref="D22:E22"/>
    <mergeCell ref="A2:H3"/>
    <mergeCell ref="A12:F12"/>
    <mergeCell ref="A13:F13"/>
    <mergeCell ref="A14:F14"/>
    <mergeCell ref="A15:F15"/>
    <mergeCell ref="A16:F16"/>
    <mergeCell ref="A5:H8"/>
    <mergeCell ref="A4:H4"/>
  </mergeCells>
  <hyperlinks>
    <hyperlink ref="D76" r:id="rId1"/>
    <hyperlink ref="D77" r:id="rId2"/>
    <hyperlink ref="D78" r:id="rId3"/>
    <hyperlink ref="A10" r:id="rId4"/>
  </hyperlinks>
  <pageMargins left="0.7" right="0.7" top="0.75" bottom="0.75" header="0.3" footer="0.3"/>
  <pageSetup orientation="portrait" r:id="rId5"/>
  <drawing r:id="rId6"/>
  <legacyDrawing r:id="rId7"/>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4:E56"/>
  <sheetViews>
    <sheetView workbookViewId="0">
      <selection activeCell="C55" sqref="C55"/>
    </sheetView>
  </sheetViews>
  <sheetFormatPr defaultRowHeight="14.4" x14ac:dyDescent="0.3"/>
  <cols>
    <col min="1" max="1" width="34.109375" customWidth="1"/>
    <col min="2" max="2" width="16.109375" customWidth="1"/>
    <col min="3" max="3" width="15.88671875" customWidth="1"/>
    <col min="4" max="4" width="13.5546875" customWidth="1"/>
    <col min="5" max="5" width="13.21875" customWidth="1"/>
  </cols>
  <sheetData>
    <row r="4" spans="1:5" x14ac:dyDescent="0.3">
      <c r="A4" s="1" t="s">
        <v>278</v>
      </c>
    </row>
    <row r="5" spans="1:5" x14ac:dyDescent="0.3">
      <c r="A5" t="s">
        <v>279</v>
      </c>
    </row>
    <row r="6" spans="1:5" x14ac:dyDescent="0.3">
      <c r="A6" t="s">
        <v>280</v>
      </c>
    </row>
    <row r="8" spans="1:5" x14ac:dyDescent="0.3">
      <c r="A8" t="s">
        <v>287</v>
      </c>
    </row>
    <row r="9" spans="1:5" x14ac:dyDescent="0.3">
      <c r="A9" s="76" t="s">
        <v>286</v>
      </c>
    </row>
    <row r="12" spans="1:5" x14ac:dyDescent="0.3">
      <c r="A12" s="198" t="s">
        <v>295</v>
      </c>
      <c r="B12" s="181"/>
      <c r="C12" s="181"/>
      <c r="D12" s="181"/>
      <c r="E12" s="182"/>
    </row>
    <row r="13" spans="1:5" x14ac:dyDescent="0.3">
      <c r="A13" s="199" t="s">
        <v>299</v>
      </c>
      <c r="B13" s="74"/>
      <c r="C13" s="74"/>
      <c r="D13" s="74"/>
      <c r="E13" s="184"/>
    </row>
    <row r="14" spans="1:5" x14ac:dyDescent="0.3">
      <c r="A14" s="183"/>
      <c r="B14" s="74"/>
      <c r="C14" s="74"/>
      <c r="D14" s="74"/>
      <c r="E14" s="184"/>
    </row>
    <row r="15" spans="1:5" x14ac:dyDescent="0.3">
      <c r="A15" s="183"/>
      <c r="B15" s="74"/>
      <c r="C15" s="74"/>
      <c r="D15" s="74"/>
      <c r="E15" s="184"/>
    </row>
    <row r="16" spans="1:5" ht="49.2" x14ac:dyDescent="0.3">
      <c r="A16" s="183"/>
      <c r="B16" s="36" t="s">
        <v>95</v>
      </c>
      <c r="C16" s="36" t="s">
        <v>98</v>
      </c>
      <c r="D16" s="36" t="s">
        <v>95</v>
      </c>
      <c r="E16" s="200" t="s">
        <v>98</v>
      </c>
    </row>
    <row r="17" spans="1:5" x14ac:dyDescent="0.3">
      <c r="A17" s="183"/>
      <c r="B17" s="201" t="s">
        <v>296</v>
      </c>
      <c r="C17" s="201" t="s">
        <v>300</v>
      </c>
      <c r="D17" s="74" t="s">
        <v>301</v>
      </c>
      <c r="E17" s="184" t="s">
        <v>301</v>
      </c>
    </row>
    <row r="18" spans="1:5" x14ac:dyDescent="0.3">
      <c r="A18" s="183" t="s">
        <v>297</v>
      </c>
      <c r="B18" s="202">
        <v>6.8000000000000005E-2</v>
      </c>
      <c r="C18" s="202">
        <v>0.01</v>
      </c>
      <c r="D18" s="202">
        <f>B18/2.20462262</f>
        <v>3.0844281185865727E-2</v>
      </c>
      <c r="E18" s="203">
        <f>C18/2.20462262</f>
        <v>4.5359237038037833E-3</v>
      </c>
    </row>
    <row r="19" spans="1:5" x14ac:dyDescent="0.3">
      <c r="A19" s="183" t="s">
        <v>298</v>
      </c>
      <c r="B19" s="202">
        <v>6.4000000000000001E-2</v>
      </c>
      <c r="C19" s="202">
        <v>8.9999999999999993E-3</v>
      </c>
      <c r="D19" s="202">
        <f>B19/2.20462262</f>
        <v>2.9029911704344213E-2</v>
      </c>
      <c r="E19" s="203">
        <f>C19/2.20462262</f>
        <v>4.082331333423405E-3</v>
      </c>
    </row>
    <row r="20" spans="1:5" x14ac:dyDescent="0.3">
      <c r="A20" s="183" t="s">
        <v>302</v>
      </c>
      <c r="B20" s="202">
        <f>AVERAGE(B18:B19)</f>
        <v>6.6000000000000003E-2</v>
      </c>
      <c r="C20" s="202">
        <f t="shared" ref="C20:E20" si="0">AVERAGE(C18:C19)</f>
        <v>9.4999999999999998E-3</v>
      </c>
      <c r="D20" s="202">
        <f t="shared" si="0"/>
        <v>2.993709644510497E-2</v>
      </c>
      <c r="E20" s="203">
        <f t="shared" si="0"/>
        <v>4.3091275186135942E-3</v>
      </c>
    </row>
    <row r="21" spans="1:5" x14ac:dyDescent="0.3">
      <c r="A21" s="195"/>
      <c r="B21" s="196"/>
      <c r="C21" s="196"/>
      <c r="D21" s="196"/>
      <c r="E21" s="197"/>
    </row>
    <row r="23" spans="1:5" ht="23.4" x14ac:dyDescent="0.45">
      <c r="A23" s="180" t="s">
        <v>380</v>
      </c>
      <c r="B23" s="181"/>
      <c r="C23" s="181"/>
      <c r="D23" s="182"/>
    </row>
    <row r="24" spans="1:5" x14ac:dyDescent="0.3">
      <c r="A24" s="183"/>
      <c r="B24" s="74"/>
      <c r="C24" s="74"/>
      <c r="D24" s="184"/>
    </row>
    <row r="25" spans="1:5" x14ac:dyDescent="0.3">
      <c r="A25" s="185" t="s">
        <v>285</v>
      </c>
      <c r="B25" s="74"/>
      <c r="C25" s="186"/>
      <c r="D25" s="184"/>
    </row>
    <row r="26" spans="1:5" x14ac:dyDescent="0.3">
      <c r="A26" s="183"/>
      <c r="B26" s="187" t="s">
        <v>75</v>
      </c>
      <c r="C26" s="187" t="s">
        <v>273</v>
      </c>
      <c r="D26" s="184"/>
    </row>
    <row r="27" spans="1:5" ht="28.8" x14ac:dyDescent="0.3">
      <c r="A27" s="188" t="s">
        <v>305</v>
      </c>
      <c r="B27" s="85">
        <f>A__WA_State_Avg_Retail_Electricity__kWh</f>
        <v>0</v>
      </c>
      <c r="C27" s="86">
        <f>A__WA_State_Avg_Retail_Electricity__kWh*kBTUperkWh</f>
        <v>0</v>
      </c>
      <c r="D27" s="184"/>
    </row>
    <row r="28" spans="1:5" x14ac:dyDescent="0.3">
      <c r="A28" s="189"/>
      <c r="B28" s="74"/>
      <c r="C28" s="74"/>
      <c r="D28" s="184"/>
    </row>
    <row r="29" spans="1:5" x14ac:dyDescent="0.3">
      <c r="A29" s="185" t="s">
        <v>250</v>
      </c>
      <c r="B29" s="92"/>
      <c r="C29" s="74"/>
      <c r="D29" s="184"/>
    </row>
    <row r="30" spans="1:5" x14ac:dyDescent="0.3">
      <c r="A30" s="190"/>
      <c r="B30" s="74"/>
      <c r="C30" s="74"/>
      <c r="D30" s="184"/>
    </row>
    <row r="31" spans="1:5" ht="28.8" x14ac:dyDescent="0.3">
      <c r="A31" s="188" t="s">
        <v>275</v>
      </c>
      <c r="B31" s="85">
        <f>Purchased_electricity_from_green_contract__kWh</f>
        <v>0</v>
      </c>
      <c r="C31" s="86">
        <f>Purchased_electricity_from_green_contract__kWh*kBTUperkWh</f>
        <v>0</v>
      </c>
      <c r="D31" s="184"/>
    </row>
    <row r="32" spans="1:5" x14ac:dyDescent="0.3">
      <c r="A32" s="191"/>
      <c r="B32" s="74"/>
      <c r="C32" s="74"/>
      <c r="D32" s="184"/>
    </row>
    <row r="33" spans="1:4" x14ac:dyDescent="0.3">
      <c r="A33" s="185" t="s">
        <v>281</v>
      </c>
      <c r="B33" s="74"/>
      <c r="C33" s="74"/>
      <c r="D33" s="184"/>
    </row>
    <row r="34" spans="1:4" ht="72" x14ac:dyDescent="0.3">
      <c r="A34" s="188" t="s">
        <v>304</v>
      </c>
      <c r="B34" s="85">
        <f>Electricity_generated___i.e._solar_photovoltaic__wind_or_other…___kWh</f>
        <v>0</v>
      </c>
      <c r="C34" s="86">
        <f>Electricity_generated___i.e._solar_photovoltaic__wind_or_other…___kWh*kBTUperkWh</f>
        <v>0</v>
      </c>
      <c r="D34" s="184"/>
    </row>
    <row r="35" spans="1:4" x14ac:dyDescent="0.3">
      <c r="A35" s="191"/>
      <c r="B35" s="74"/>
      <c r="C35" s="74"/>
      <c r="D35" s="184"/>
    </row>
    <row r="36" spans="1:4" x14ac:dyDescent="0.3">
      <c r="A36" s="183"/>
      <c r="B36" s="74"/>
      <c r="C36" s="74"/>
      <c r="D36" s="184"/>
    </row>
    <row r="37" spans="1:4" ht="15.6" x14ac:dyDescent="0.3">
      <c r="A37" s="192" t="s">
        <v>290</v>
      </c>
      <c r="B37" s="74"/>
      <c r="C37" s="74"/>
      <c r="D37" s="184"/>
    </row>
    <row r="38" spans="1:4" x14ac:dyDescent="0.3">
      <c r="A38" s="185" t="s">
        <v>282</v>
      </c>
      <c r="B38" s="74"/>
      <c r="C38" s="74"/>
      <c r="D38" s="184"/>
    </row>
    <row r="39" spans="1:4" x14ac:dyDescent="0.3">
      <c r="A39" s="193" t="s">
        <v>7</v>
      </c>
      <c r="B39" s="187" t="s">
        <v>76</v>
      </c>
      <c r="C39" s="187" t="s">
        <v>273</v>
      </c>
      <c r="D39" s="184"/>
    </row>
    <row r="40" spans="1:4" x14ac:dyDescent="0.3">
      <c r="A40" s="194" t="s">
        <v>8</v>
      </c>
      <c r="B40" s="85">
        <f>BlgNG__therms_used</f>
        <v>0</v>
      </c>
      <c r="C40" s="86">
        <f>BlgNG__therms_used*Reference!$A$5</f>
        <v>0</v>
      </c>
      <c r="D40" s="184"/>
    </row>
    <row r="41" spans="1:4" x14ac:dyDescent="0.3">
      <c r="A41" s="194" t="s">
        <v>9</v>
      </c>
      <c r="B41" s="85">
        <f>BlgDiesel__gals_used</f>
        <v>0</v>
      </c>
      <c r="C41" s="86">
        <f>BlgDiesel__gals_used*Reference!$B$19</f>
        <v>0</v>
      </c>
      <c r="D41" s="184"/>
    </row>
    <row r="42" spans="1:4" x14ac:dyDescent="0.3">
      <c r="A42" s="194" t="s">
        <v>10</v>
      </c>
      <c r="B42" s="85">
        <f>BlgPropane__gals_used</f>
        <v>0</v>
      </c>
      <c r="C42" s="86">
        <f>BlgPropane__gals_used*Reference!$B$20</f>
        <v>0</v>
      </c>
      <c r="D42" s="184"/>
    </row>
    <row r="43" spans="1:4" x14ac:dyDescent="0.3">
      <c r="A43" s="194" t="s">
        <v>11</v>
      </c>
      <c r="B43" s="85">
        <f>BlgFuelOil__gals_used</f>
        <v>0</v>
      </c>
      <c r="C43" s="86">
        <f>BlgFuelOil__gals_used*Reference!$B$21</f>
        <v>0</v>
      </c>
      <c r="D43" s="184"/>
    </row>
    <row r="44" spans="1:4" x14ac:dyDescent="0.3">
      <c r="A44" s="194" t="s">
        <v>12</v>
      </c>
      <c r="B44" s="85">
        <f>BlgGasoline__gals_used</f>
        <v>0</v>
      </c>
      <c r="C44" s="86">
        <f>BlgGasoline__gals_used*Reference!$B$22</f>
        <v>0</v>
      </c>
      <c r="D44" s="184"/>
    </row>
    <row r="45" spans="1:4" x14ac:dyDescent="0.3">
      <c r="A45" s="183"/>
      <c r="B45" s="74"/>
      <c r="C45" s="74"/>
      <c r="D45" s="184"/>
    </row>
    <row r="46" spans="1:4" x14ac:dyDescent="0.3">
      <c r="A46" s="185" t="s">
        <v>283</v>
      </c>
      <c r="B46" s="74"/>
      <c r="C46" s="74"/>
      <c r="D46" s="184"/>
    </row>
    <row r="47" spans="1:4" ht="100.8" x14ac:dyDescent="0.3">
      <c r="A47" s="188" t="s">
        <v>291</v>
      </c>
      <c r="B47" s="85">
        <f>Renewable_thermal_heating_cooling</f>
        <v>0</v>
      </c>
      <c r="C47" s="92"/>
      <c r="D47" s="184"/>
    </row>
    <row r="48" spans="1:4" x14ac:dyDescent="0.3">
      <c r="A48" s="194"/>
      <c r="B48" s="74"/>
      <c r="C48" s="74"/>
      <c r="D48" s="184"/>
    </row>
    <row r="49" spans="1:4" x14ac:dyDescent="0.3">
      <c r="A49" s="185" t="s">
        <v>276</v>
      </c>
      <c r="B49" s="74"/>
      <c r="C49" s="74"/>
      <c r="D49" s="184"/>
    </row>
    <row r="50" spans="1:4" x14ac:dyDescent="0.3">
      <c r="A50" s="194" t="s">
        <v>249</v>
      </c>
      <c r="B50" s="85">
        <f>Purchased_Steam__klbs</f>
        <v>0</v>
      </c>
      <c r="C50" s="86">
        <f>Purchased_Steam__klbs*MMBtu_per_klb</f>
        <v>0</v>
      </c>
      <c r="D50" s="184"/>
    </row>
    <row r="51" spans="1:4" x14ac:dyDescent="0.3">
      <c r="A51" s="194"/>
      <c r="B51" s="74"/>
      <c r="C51" s="74"/>
      <c r="D51" s="184"/>
    </row>
    <row r="52" spans="1:4" x14ac:dyDescent="0.3">
      <c r="A52" s="204" t="s">
        <v>379</v>
      </c>
      <c r="B52" s="74"/>
      <c r="C52" s="205">
        <f>SUM(C27:C50)</f>
        <v>0</v>
      </c>
      <c r="D52" s="184"/>
    </row>
    <row r="53" spans="1:4" x14ac:dyDescent="0.3">
      <c r="A53" s="204" t="s">
        <v>255</v>
      </c>
      <c r="B53" s="74"/>
      <c r="C53" s="86">
        <f>Total_conditioned_space__sq._ft.</f>
        <v>0</v>
      </c>
      <c r="D53" s="184"/>
    </row>
    <row r="54" spans="1:4" x14ac:dyDescent="0.3">
      <c r="A54" s="204" t="s">
        <v>378</v>
      </c>
      <c r="B54" s="201" t="s">
        <v>381</v>
      </c>
      <c r="C54" s="207" t="e">
        <f>C52/C53</f>
        <v>#DIV/0!</v>
      </c>
      <c r="D54" s="184"/>
    </row>
    <row r="55" spans="1:4" x14ac:dyDescent="0.3">
      <c r="A55" s="183"/>
      <c r="B55" s="74"/>
      <c r="C55" s="74"/>
      <c r="D55" s="184"/>
    </row>
    <row r="56" spans="1:4" x14ac:dyDescent="0.3">
      <c r="A56" s="195"/>
      <c r="B56" s="196"/>
      <c r="C56" s="196"/>
      <c r="D56" s="197"/>
    </row>
  </sheetData>
  <hyperlinks>
    <hyperlink ref="A9" r:id="rId1"/>
    <hyperlink ref="A13" r:id="rId2"/>
  </hyperlinks>
  <pageMargins left="0.7" right="0.7" top="0.75" bottom="0.75" header="0.3" footer="0.3"/>
  <pageSetup orientation="portrait"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45</vt:i4>
      </vt:variant>
    </vt:vector>
  </HeadingPairs>
  <TitlesOfParts>
    <vt:vector size="50" baseType="lpstr">
      <vt:lpstr>Instructions</vt:lpstr>
      <vt:lpstr>Report</vt:lpstr>
      <vt:lpstr>Reference</vt:lpstr>
      <vt:lpstr>Emission Reduction Estimates</vt:lpstr>
      <vt:lpstr>hide tab</vt:lpstr>
      <vt:lpstr>A__WA_State_Avg_Retail_Electricity__kWh</vt:lpstr>
      <vt:lpstr>AvGas_used</vt:lpstr>
      <vt:lpstr>B100_CH4_MT_gal</vt:lpstr>
      <vt:lpstr>B100_CO2_MT_gal</vt:lpstr>
      <vt:lpstr>B100_N2O_MT_gal</vt:lpstr>
      <vt:lpstr>BlgDiesel__gals_used</vt:lpstr>
      <vt:lpstr>BlgFuelOil__gals_used</vt:lpstr>
      <vt:lpstr>BlgGasoline__gals_used</vt:lpstr>
      <vt:lpstr>BlgNG__therms_used</vt:lpstr>
      <vt:lpstr>BlgPropane__gals_used</vt:lpstr>
      <vt:lpstr>CH4_EF_kg_MWh</vt:lpstr>
      <vt:lpstr>Diesel_MTCH4_gal</vt:lpstr>
      <vt:lpstr>Diesel_MTCO2_gal</vt:lpstr>
      <vt:lpstr>Diesel_MTN2O_gal</vt:lpstr>
      <vt:lpstr>Electricity_generated___i.e._solar_photovoltaic__wind_or_other…___kWh</vt:lpstr>
      <vt:lpstr>Fleet_Diesel_Ferries_used</vt:lpstr>
      <vt:lpstr>FleetAvGas_use</vt:lpstr>
      <vt:lpstr>FuelOil_MTCH4_gal</vt:lpstr>
      <vt:lpstr>FuelOil_MTCO2_gal</vt:lpstr>
      <vt:lpstr>FuelOil_MTN2O_gal</vt:lpstr>
      <vt:lpstr>Gasoline_MTCO2_gal</vt:lpstr>
      <vt:lpstr>Gasoline_MTN2O_gal</vt:lpstr>
      <vt:lpstr>Gasonline_MTCH4_gal</vt:lpstr>
      <vt:lpstr>GWP_CH4</vt:lpstr>
      <vt:lpstr>GWP_N2O</vt:lpstr>
      <vt:lpstr>kBTUperkWh</vt:lpstr>
      <vt:lpstr>MMBtu_per_klb</vt:lpstr>
      <vt:lpstr>MVDieselBulk_gals_used</vt:lpstr>
      <vt:lpstr>MVDieselRetail_gals_used</vt:lpstr>
      <vt:lpstr>MVDieselWSDOT_gals_used</vt:lpstr>
      <vt:lpstr>MVGasoline_gas_used</vt:lpstr>
      <vt:lpstr>MVPropane_gals_used</vt:lpstr>
      <vt:lpstr>N2O_EF_kg_MWh</vt:lpstr>
      <vt:lpstr>NG_MTCH4_therm</vt:lpstr>
      <vt:lpstr>NG_MTCO2_therm</vt:lpstr>
      <vt:lpstr>NG_MTN2O_therms</vt:lpstr>
      <vt:lpstr>Propane_MTCH4_gal</vt:lpstr>
      <vt:lpstr>Propane_MTCO2_gal</vt:lpstr>
      <vt:lpstr>Propane_MTN2O_gal</vt:lpstr>
      <vt:lpstr>Purchased_electricity___WA_Avg_CO2EF</vt:lpstr>
      <vt:lpstr>Purchased_electricity_from_green_contract__kWh</vt:lpstr>
      <vt:lpstr>Purchased_Steam__klbs</vt:lpstr>
      <vt:lpstr>Renewable_thermal_heating_cooling</vt:lpstr>
      <vt:lpstr>Total_conditioned_space__sq._ft.</vt:lpstr>
      <vt:lpstr>WA_Elect_MT_CO2_kWh</vt:lpstr>
    </vt:vector>
  </TitlesOfParts>
  <Company>WA Department of Ecology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Waterman-Hoey, Stacey (ECY)</dc:creator>
  <cp:lastModifiedBy>Waterman-Hoey, Stacey (ECY)</cp:lastModifiedBy>
  <cp:lastPrinted>2021-12-09T22:43:27Z</cp:lastPrinted>
  <dcterms:created xsi:type="dcterms:W3CDTF">2021-09-07T15:51:58Z</dcterms:created>
  <dcterms:modified xsi:type="dcterms:W3CDTF">2022-01-10T21:39:37Z</dcterms:modified>
</cp:coreProperties>
</file>