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stateofwa-my.sharepoint.com/personal/lypa461_ecy_wa_gov/Documents/Desktop/2025 State Agency Reporting - Working Docs/ECY Calculator/"/>
    </mc:Choice>
  </mc:AlternateContent>
  <xr:revisionPtr revIDLastSave="154" documentId="13_ncr:1_{1AE52D81-D7BC-4DC4-A1BC-FBB7436FC72F}" xr6:coauthVersionLast="47" xr6:coauthVersionMax="47" xr10:uidLastSave="{F3EE2789-4DE9-4DCF-A61C-92C58BE4E07E}"/>
  <bookViews>
    <workbookView xWindow="2385" yWindow="1005" windowWidth="22560" windowHeight="15330" xr2:uid="{5029456A-DE0B-42B4-8C15-F37670D1E29D}"/>
  </bookViews>
  <sheets>
    <sheet name="Instructions" sheetId="1" r:id="rId1"/>
    <sheet name="Report" sheetId="2" r:id="rId2"/>
    <sheet name="Agency Fuel Use" sheetId="8" r:id="rId3"/>
    <sheet name="Reference" sheetId="3" r:id="rId4"/>
    <sheet name="Emission Reduction Estimates" sheetId="4" r:id="rId5"/>
    <sheet name="Historic Data and Limits" sheetId="7" r:id="rId6"/>
  </sheets>
  <externalReferences>
    <externalReference r:id="rId7"/>
  </externalReferences>
  <definedNames>
    <definedName name="_xlnm._FilterDatabase" localSheetId="5" hidden="1">'Historic Data and Limits'!$A$2:$Y$28</definedName>
    <definedName name="A__WA_State_Avg_Retail_Electricity__kWh" localSheetId="5">#REF!</definedName>
    <definedName name="A__WA_State_Avg_Retail_Electricity__kWh">Report!$B$27</definedName>
    <definedName name="AvGas_used" localSheetId="5">#REF!</definedName>
    <definedName name="AvGas_used">Report!$B$73</definedName>
    <definedName name="B100_CH4_MT_gal" localSheetId="5">#REF!</definedName>
    <definedName name="B100_CH4_MT_gal">Reference!$F$43</definedName>
    <definedName name="B100_CO2_MT_gal" localSheetId="5">[1]Reference!$D$43</definedName>
    <definedName name="B100_CO2_MT_gal">Reference!$D$43</definedName>
    <definedName name="B100_N2O_MT_gal" localSheetId="5">#REF!</definedName>
    <definedName name="B100_N2O_MT_gal">Reference!$H$43</definedName>
    <definedName name="BlgDiesel__gals_used" localSheetId="5">#REF!</definedName>
    <definedName name="BlgDiesel__gals_used">Report!$B$40</definedName>
    <definedName name="BlgFuelOil__gals_used" localSheetId="5">#REF!</definedName>
    <definedName name="BlgFuelOil__gals_used">Report!$B$42</definedName>
    <definedName name="BlgGasoline__gals_used" localSheetId="5">#REF!</definedName>
    <definedName name="BlgGasoline__gals_used">Report!$B$43</definedName>
    <definedName name="BlgNG__therms_used" localSheetId="5">#REF!</definedName>
    <definedName name="BlgNG__therms_used">Report!$B$39</definedName>
    <definedName name="BlgPropane__gals_used" localSheetId="5">#REF!</definedName>
    <definedName name="BlgPropane__gals_used">Report!$B$41</definedName>
    <definedName name="CH4_EF_kg_MWh">#REF!</definedName>
    <definedName name="Diesel_MTCH4_gal" localSheetId="5">[1]Reference!$F$19</definedName>
    <definedName name="Diesel_MTCH4_gal">Reference!$F$19</definedName>
    <definedName name="Diesel_MTCO2_gal" localSheetId="5">[1]Reference!$D$19</definedName>
    <definedName name="Diesel_MTCO2_gal">Reference!$D$19</definedName>
    <definedName name="Diesel_MTN2O_gal" localSheetId="5">[1]Reference!$H$19</definedName>
    <definedName name="Diesel_MTN2O_gal">Reference!$H$19</definedName>
    <definedName name="Electricity_generated___i.e._solar_photovoltaic__wind_or_other…___kWh" localSheetId="5">#REF!</definedName>
    <definedName name="Electricity_generated___i.e._solar_photovoltaic__wind_or_other…___kWh">Report!$B$34</definedName>
    <definedName name="Fleet_Diesel_Ferries_used" localSheetId="5">#REF!</definedName>
    <definedName name="Fleet_Diesel_Ferries_used">Report!$B$69</definedName>
    <definedName name="FleetAvGas_use" localSheetId="5">#REF!</definedName>
    <definedName name="FleetAvGas_use">Report!$B$73</definedName>
    <definedName name="FuelOil_MTCH4_gal" localSheetId="5">[1]Reference!$F$21</definedName>
    <definedName name="FuelOil_MTCH4_gal">Reference!$F$21</definedName>
    <definedName name="FuelOil_MTCO2_gal" localSheetId="5">[1]Reference!$D$21</definedName>
    <definedName name="FuelOil_MTCO2_gal">Reference!$D$21</definedName>
    <definedName name="FuelOil_MTN2O_gal" localSheetId="5">[1]Reference!$H$21</definedName>
    <definedName name="FuelOil_MTN2O_gal">Reference!$H$21</definedName>
    <definedName name="Gasoline_MTCO2_gal" localSheetId="5">[1]Reference!$D$22</definedName>
    <definedName name="Gasoline_MTCO2_gal">Reference!$D$22</definedName>
    <definedName name="Gasoline_MTN2O_gal" localSheetId="5">[1]Reference!$H$22</definedName>
    <definedName name="Gasoline_MTN2O_gal">Reference!$H$22</definedName>
    <definedName name="Gasonline_MTCH4_gal" localSheetId="5">[1]Reference!$F$22</definedName>
    <definedName name="Gasonline_MTCH4_gal">Reference!$F$22</definedName>
    <definedName name="GWP_CH4" localSheetId="5">[1]Reference!$B$51</definedName>
    <definedName name="GWP_CH4">Reference!$B$51</definedName>
    <definedName name="GWP_N2O" localSheetId="5">[1]Reference!$B$52</definedName>
    <definedName name="GWP_N2O">Reference!$B$52</definedName>
    <definedName name="kBTUperkWh" localSheetId="5">[1]Reference!$A$9</definedName>
    <definedName name="kBTUperkWh">Reference!$A$9</definedName>
    <definedName name="MMBtu_per_klb" localSheetId="5">[1]Reference!$A$10</definedName>
    <definedName name="MMBtu_per_klb">Reference!$A$10</definedName>
    <definedName name="MVDieselBulk_gals_used" localSheetId="5">#REF!</definedName>
    <definedName name="MVDieselBulk_gals_used">Report!$B$61</definedName>
    <definedName name="MVDieselRetail_gals_used" localSheetId="5">#REF!</definedName>
    <definedName name="MVDieselRetail_gals_used">Report!$B$59</definedName>
    <definedName name="MVDieselWSDOT_gals_used" localSheetId="5">#REF!</definedName>
    <definedName name="MVDieselWSDOT_gals_used">Report!$B$60</definedName>
    <definedName name="MVGasoline_gas_used" localSheetId="5">#REF!</definedName>
    <definedName name="MVGasoline_gas_used">Report!$B$58</definedName>
    <definedName name="MVPropane_gals_used" localSheetId="5">#REF!</definedName>
    <definedName name="MVPropane_gals_used">Report!$B$62</definedName>
    <definedName name="N2O_EF_kg_MWh">#REF!</definedName>
    <definedName name="NG_MTCH4_therm" localSheetId="5">[1]Reference!$F$15</definedName>
    <definedName name="NG_MTCH4_therm">Reference!$F$15</definedName>
    <definedName name="NG_MTCO2_therm" localSheetId="5">[1]Reference!$D$15</definedName>
    <definedName name="NG_MTCO2_therm">Reference!$D$15</definedName>
    <definedName name="NG_MTN2O_therms" localSheetId="5">[1]Reference!$H$15</definedName>
    <definedName name="NG_MTN2O_therms">Reference!$H$15</definedName>
    <definedName name="Propane_MTCH4_gal" localSheetId="5">[1]Reference!$F$20</definedName>
    <definedName name="Propane_MTCH4_gal">Reference!$F$20</definedName>
    <definedName name="Propane_MTCO2_gal" localSheetId="5">[1]Reference!$D$20</definedName>
    <definedName name="Propane_MTCO2_gal">Reference!$D$20</definedName>
    <definedName name="Propane_MTN2O_gal" localSheetId="5">[1]Reference!$H$20</definedName>
    <definedName name="Propane_MTN2O_gal">Reference!$H$20</definedName>
    <definedName name="Purchased_electricity___WA_Avg_CO2EF" localSheetId="5">[1]Reference!$C$27</definedName>
    <definedName name="Purchased_electricity___WA_Avg_CO2EF">Reference!$C$27</definedName>
    <definedName name="Purchased_electricity_from_green_contract__kWh" localSheetId="5">#REF!</definedName>
    <definedName name="Purchased_electricity_from_green_contract__kWh">Report!$B$31</definedName>
    <definedName name="Purchased_Steam__klbs" localSheetId="5">#REF!</definedName>
    <definedName name="Purchased_Steam__klbs">Report!$B$49</definedName>
    <definedName name="Renewable_thermal_heating_cooling" localSheetId="5">#REF!</definedName>
    <definedName name="Renewable_thermal_heating_cooling">Report!$B$46</definedName>
    <definedName name="Total_conditioned_space__sq._ft." localSheetId="5">#REF!</definedName>
    <definedName name="Total_conditioned_space__sq._ft.">Report!$B$21</definedName>
    <definedName name="WA_Elect_MT_CO2_kWh" localSheetId="5">[1]Reference!$D$27</definedName>
    <definedName name="WA_Elect_MT_CO2_kWh">Reference!$D$27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3" l="1"/>
  <c r="D43" i="3"/>
  <c r="D40" i="3"/>
  <c r="D41" i="3"/>
  <c r="D42" i="3"/>
  <c r="D44" i="3"/>
  <c r="D45" i="3"/>
  <c r="D46" i="3"/>
  <c r="H19" i="3" l="1"/>
  <c r="F21" i="3"/>
  <c r="F20" i="3"/>
  <c r="F19" i="3"/>
  <c r="E19" i="3"/>
  <c r="D22" i="3"/>
  <c r="H15" i="3"/>
  <c r="F15" i="3"/>
  <c r="D15" i="3"/>
  <c r="D117" i="2" l="1"/>
  <c r="D116" i="2"/>
  <c r="D113" i="2"/>
  <c r="D112" i="2"/>
  <c r="D111" i="2"/>
  <c r="D110" i="2"/>
  <c r="F27" i="3"/>
  <c r="G32" i="3"/>
  <c r="E32" i="3"/>
  <c r="D32" i="3"/>
  <c r="C101" i="2" l="1"/>
  <c r="W16" i="7"/>
  <c r="W14" i="7"/>
  <c r="Y4" i="7"/>
  <c r="Y7" i="7"/>
  <c r="Y8" i="7"/>
  <c r="Y9" i="7"/>
  <c r="Y10" i="7"/>
  <c r="Y11" i="7"/>
  <c r="Y12" i="7"/>
  <c r="Y13" i="7"/>
  <c r="Y14" i="7"/>
  <c r="Y15" i="7"/>
  <c r="Y16" i="7"/>
  <c r="Y17" i="7"/>
  <c r="Y18" i="7"/>
  <c r="Y19" i="7"/>
  <c r="Y22" i="7"/>
  <c r="Y23" i="7"/>
  <c r="Y24" i="7"/>
  <c r="Y25" i="7"/>
  <c r="Y26" i="7"/>
  <c r="Y27" i="7"/>
  <c r="Y28" i="7"/>
  <c r="Y3" i="7"/>
  <c r="W7" i="7"/>
  <c r="W8" i="7"/>
  <c r="W9" i="7"/>
  <c r="W10" i="7"/>
  <c r="W11" i="7"/>
  <c r="W12" i="7"/>
  <c r="W13" i="7"/>
  <c r="W15" i="7"/>
  <c r="W17" i="7"/>
  <c r="W18" i="7"/>
  <c r="W19" i="7"/>
  <c r="W22" i="7"/>
  <c r="W23" i="7"/>
  <c r="W24" i="7"/>
  <c r="W25" i="7"/>
  <c r="W26" i="7"/>
  <c r="W27" i="7"/>
  <c r="W28" i="7"/>
  <c r="W4" i="7"/>
  <c r="W3" i="7"/>
  <c r="H27" i="3" l="1"/>
  <c r="E27" i="3"/>
  <c r="D27" i="3"/>
  <c r="G95" i="3"/>
  <c r="M37" i="3"/>
  <c r="M36" i="3"/>
  <c r="U3" i="7"/>
  <c r="U10" i="7"/>
  <c r="U4" i="7"/>
  <c r="U7" i="7"/>
  <c r="U8" i="7"/>
  <c r="U9" i="7"/>
  <c r="U11" i="7"/>
  <c r="U12" i="7"/>
  <c r="U13" i="7"/>
  <c r="U14" i="7"/>
  <c r="U15" i="7"/>
  <c r="U16" i="7"/>
  <c r="U17" i="7"/>
  <c r="U18" i="7"/>
  <c r="U19" i="7"/>
  <c r="U22" i="7"/>
  <c r="U23" i="7"/>
  <c r="U24" i="7"/>
  <c r="U25" i="7"/>
  <c r="U26" i="7"/>
  <c r="U27" i="7"/>
  <c r="U28" i="7"/>
  <c r="T4" i="7"/>
  <c r="T7" i="7"/>
  <c r="T8" i="7"/>
  <c r="T9" i="7"/>
  <c r="T10" i="7"/>
  <c r="T11" i="7"/>
  <c r="T12" i="7"/>
  <c r="T13" i="7"/>
  <c r="T14" i="7"/>
  <c r="T15" i="7"/>
  <c r="T16" i="7"/>
  <c r="T17" i="7"/>
  <c r="T18" i="7"/>
  <c r="T19" i="7"/>
  <c r="T22" i="7"/>
  <c r="T23" i="7"/>
  <c r="T24" i="7"/>
  <c r="T25" i="7"/>
  <c r="T26" i="7"/>
  <c r="T27" i="7"/>
  <c r="T28" i="7"/>
  <c r="T3" i="7"/>
  <c r="R4" i="7"/>
  <c r="R7" i="7"/>
  <c r="R8" i="7"/>
  <c r="R9" i="7"/>
  <c r="R10" i="7"/>
  <c r="R11" i="7"/>
  <c r="R12" i="7"/>
  <c r="R13" i="7"/>
  <c r="R14" i="7"/>
  <c r="R15" i="7"/>
  <c r="R16" i="7"/>
  <c r="R17" i="7"/>
  <c r="R18" i="7"/>
  <c r="R19" i="7"/>
  <c r="R22" i="7"/>
  <c r="R23" i="7"/>
  <c r="R24" i="7"/>
  <c r="R25" i="7"/>
  <c r="R26" i="7"/>
  <c r="R27" i="7"/>
  <c r="R28" i="7"/>
  <c r="R3" i="7"/>
  <c r="I112" i="2" l="1"/>
  <c r="G112" i="2" s="1"/>
  <c r="H112" i="2"/>
  <c r="F112" i="2" s="1"/>
  <c r="L39" i="3" l="1"/>
  <c r="K39" i="3"/>
  <c r="N38" i="3"/>
  <c r="M38" i="3"/>
  <c r="N37" i="3"/>
  <c r="N36" i="3"/>
  <c r="M39" i="3" l="1"/>
  <c r="N39" i="3"/>
  <c r="G27" i="3" s="1"/>
  <c r="H121" i="2" l="1"/>
  <c r="H119" i="2"/>
  <c r="I122" i="2"/>
  <c r="H122" i="2"/>
  <c r="I121" i="2"/>
  <c r="I119" i="2"/>
  <c r="I117" i="2"/>
  <c r="H117" i="2"/>
  <c r="I116" i="2"/>
  <c r="H116" i="2"/>
  <c r="H110" i="2"/>
  <c r="H114" i="2"/>
  <c r="H113" i="2"/>
  <c r="H111" i="2"/>
  <c r="I114" i="2"/>
  <c r="I113" i="2"/>
  <c r="I111" i="2"/>
  <c r="I110" i="2"/>
  <c r="E65" i="4" l="1"/>
  <c r="F65" i="4" s="1"/>
  <c r="D65" i="4"/>
  <c r="C65" i="4"/>
  <c r="C62" i="4"/>
  <c r="E62" i="4"/>
  <c r="D61" i="4"/>
  <c r="C61" i="4"/>
  <c r="E61" i="4"/>
  <c r="F61" i="4" s="1"/>
  <c r="D60" i="4"/>
  <c r="C60" i="4"/>
  <c r="E60" i="4"/>
  <c r="D59" i="4"/>
  <c r="C59" i="4"/>
  <c r="E59" i="4"/>
  <c r="E58" i="4"/>
  <c r="D58" i="4"/>
  <c r="C58" i="4"/>
  <c r="C57" i="4"/>
  <c r="E57" i="4"/>
  <c r="C53" i="4"/>
  <c r="E53" i="4"/>
  <c r="K50" i="4"/>
  <c r="L50" i="4" s="1"/>
  <c r="M50" i="4" s="1"/>
  <c r="N50" i="4" s="1"/>
  <c r="O50" i="4" s="1"/>
  <c r="P50" i="4" s="1"/>
  <c r="Q50" i="4" s="1"/>
  <c r="R50" i="4" s="1"/>
  <c r="S50" i="4" s="1"/>
  <c r="T50" i="4" s="1"/>
  <c r="E50" i="4"/>
  <c r="D50" i="4"/>
  <c r="C50" i="4"/>
  <c r="K24" i="4"/>
  <c r="L24" i="4" s="1"/>
  <c r="M24" i="4" s="1"/>
  <c r="N24" i="4" s="1"/>
  <c r="O24" i="4" s="1"/>
  <c r="P24" i="4" s="1"/>
  <c r="Q24" i="4" s="1"/>
  <c r="R24" i="4" s="1"/>
  <c r="S24" i="4" s="1"/>
  <c r="T24" i="4" s="1"/>
  <c r="G46" i="3"/>
  <c r="H46" i="3" s="1"/>
  <c r="D122" i="2" s="1"/>
  <c r="E46" i="3"/>
  <c r="F46" i="3" s="1"/>
  <c r="C122" i="2" s="1"/>
  <c r="G45" i="3"/>
  <c r="H45" i="3" s="1"/>
  <c r="E45" i="3"/>
  <c r="F45" i="3" s="1"/>
  <c r="C121" i="2" s="1"/>
  <c r="G44" i="3"/>
  <c r="H44" i="3" s="1"/>
  <c r="D114" i="2" s="1"/>
  <c r="E44" i="3"/>
  <c r="F44" i="3" s="1"/>
  <c r="C114" i="2" s="1"/>
  <c r="F114" i="2"/>
  <c r="B114" i="2" s="1"/>
  <c r="G43" i="3"/>
  <c r="H43" i="3" s="1"/>
  <c r="E43" i="3"/>
  <c r="F43" i="3" s="1"/>
  <c r="G42" i="3"/>
  <c r="H42" i="3" s="1"/>
  <c r="E42" i="3"/>
  <c r="G41" i="3"/>
  <c r="H41" i="3" s="1"/>
  <c r="E41" i="3"/>
  <c r="F41" i="3" s="1"/>
  <c r="G40" i="3"/>
  <c r="H40" i="3" s="1"/>
  <c r="E40" i="3"/>
  <c r="F40" i="3" s="1"/>
  <c r="H32" i="3"/>
  <c r="D102" i="2" s="1"/>
  <c r="F32" i="3"/>
  <c r="C102" i="2" s="1"/>
  <c r="D101" i="2"/>
  <c r="G22" i="3"/>
  <c r="H22" i="3" s="1"/>
  <c r="D99" i="2" s="1"/>
  <c r="F22" i="3"/>
  <c r="C99" i="2" s="1"/>
  <c r="E22" i="3"/>
  <c r="B99" i="2"/>
  <c r="G21" i="3"/>
  <c r="H21" i="3" s="1"/>
  <c r="D98" i="2" s="1"/>
  <c r="C98" i="2"/>
  <c r="E21" i="3"/>
  <c r="D21" i="3"/>
  <c r="G20" i="3"/>
  <c r="H20" i="3" s="1"/>
  <c r="D97" i="2" s="1"/>
  <c r="E20" i="3"/>
  <c r="C97" i="2" s="1"/>
  <c r="D20" i="3"/>
  <c r="B97" i="2" s="1"/>
  <c r="D96" i="2"/>
  <c r="G19" i="3"/>
  <c r="C96" i="2"/>
  <c r="D19" i="3"/>
  <c r="G15" i="3"/>
  <c r="D95" i="2" s="1"/>
  <c r="E15" i="3"/>
  <c r="C95" i="2" s="1"/>
  <c r="B98" i="2"/>
  <c r="B96" i="2"/>
  <c r="B95" i="2"/>
  <c r="B21" i="2"/>
  <c r="C18" i="2" s="1"/>
  <c r="C20" i="2"/>
  <c r="F60" i="4" l="1"/>
  <c r="F59" i="4"/>
  <c r="E114" i="2"/>
  <c r="C19" i="2"/>
  <c r="G26" i="4"/>
  <c r="F26" i="4"/>
  <c r="F111" i="2"/>
  <c r="F113" i="2"/>
  <c r="F119" i="2"/>
  <c r="F117" i="2"/>
  <c r="C112" i="2"/>
  <c r="C119" i="2"/>
  <c r="C113" i="2"/>
  <c r="C117" i="2"/>
  <c r="C111" i="2"/>
  <c r="D119" i="2"/>
  <c r="G32" i="4"/>
  <c r="F32" i="4"/>
  <c r="F121" i="2"/>
  <c r="B121" i="2" s="1"/>
  <c r="F24" i="4"/>
  <c r="G24" i="4"/>
  <c r="F116" i="2"/>
  <c r="F110" i="2"/>
  <c r="G117" i="2"/>
  <c r="G111" i="2"/>
  <c r="G113" i="2"/>
  <c r="G119" i="2"/>
  <c r="C116" i="2"/>
  <c r="C110" i="2"/>
  <c r="G116" i="2"/>
  <c r="G110" i="2"/>
  <c r="D121" i="2"/>
  <c r="G34" i="4"/>
  <c r="F34" i="4"/>
  <c r="F122" i="2"/>
  <c r="B122" i="2" s="1"/>
  <c r="E122" i="2" s="1"/>
  <c r="G36" i="4"/>
  <c r="F36" i="4"/>
  <c r="B102" i="2"/>
  <c r="E102" i="2" s="1"/>
  <c r="C17" i="2"/>
  <c r="F33" i="4"/>
  <c r="G33" i="4"/>
  <c r="F35" i="4"/>
  <c r="G35" i="4"/>
  <c r="G30" i="4"/>
  <c r="F30" i="4"/>
  <c r="F28" i="4"/>
  <c r="G28" i="4"/>
  <c r="B101" i="2"/>
  <c r="E101" i="2" s="1"/>
  <c r="F58" i="4"/>
  <c r="E67" i="4"/>
  <c r="Q52" i="4" s="1"/>
  <c r="H123" i="2"/>
  <c r="C104" i="2"/>
  <c r="I123" i="2"/>
  <c r="F50" i="4"/>
  <c r="D57" i="4"/>
  <c r="F57" i="4" s="1"/>
  <c r="D53" i="4"/>
  <c r="F53" i="4" s="1"/>
  <c r="D62" i="4"/>
  <c r="F62" i="4" s="1"/>
  <c r="E97" i="2"/>
  <c r="E98" i="2"/>
  <c r="D104" i="2"/>
  <c r="E96" i="2"/>
  <c r="E99" i="2"/>
  <c r="E95" i="2"/>
  <c r="B110" i="2" l="1"/>
  <c r="E110" i="2" s="1"/>
  <c r="H34" i="4"/>
  <c r="M52" i="4"/>
  <c r="H26" i="4"/>
  <c r="R52" i="4"/>
  <c r="K52" i="4"/>
  <c r="G123" i="2"/>
  <c r="B117" i="2"/>
  <c r="E117" i="2" s="1"/>
  <c r="D123" i="2"/>
  <c r="B116" i="2"/>
  <c r="E116" i="2" s="1"/>
  <c r="B112" i="2"/>
  <c r="E112" i="2" s="1"/>
  <c r="H24" i="4"/>
  <c r="B119" i="2"/>
  <c r="E119" i="2" s="1"/>
  <c r="E121" i="2"/>
  <c r="B113" i="2"/>
  <c r="E113" i="2" s="1"/>
  <c r="G38" i="4"/>
  <c r="H32" i="4"/>
  <c r="B111" i="2"/>
  <c r="E111" i="2" s="1"/>
  <c r="H30" i="4"/>
  <c r="H36" i="4"/>
  <c r="H35" i="4"/>
  <c r="H33" i="4"/>
  <c r="B104" i="2"/>
  <c r="H28" i="4"/>
  <c r="F38" i="4"/>
  <c r="N52" i="4"/>
  <c r="O52" i="4"/>
  <c r="P52" i="4"/>
  <c r="L52" i="4"/>
  <c r="S52" i="4"/>
  <c r="T52" i="4"/>
  <c r="D67" i="4"/>
  <c r="F67" i="4"/>
  <c r="K53" i="4" s="1"/>
  <c r="F123" i="2"/>
  <c r="E104" i="2"/>
  <c r="F94" i="2" s="1"/>
  <c r="C123" i="2"/>
  <c r="H38" i="4" l="1"/>
  <c r="P25" i="4"/>
  <c r="L25" i="4"/>
  <c r="O25" i="4"/>
  <c r="S25" i="4"/>
  <c r="T25" i="4"/>
  <c r="K25" i="4"/>
  <c r="N25" i="4"/>
  <c r="R25" i="4"/>
  <c r="M25" i="4"/>
  <c r="Q25" i="4"/>
  <c r="B86" i="2"/>
  <c r="F100" i="2"/>
  <c r="J109" i="2"/>
  <c r="J120" i="2"/>
  <c r="L53" i="4"/>
  <c r="M53" i="4" s="1"/>
  <c r="N53" i="4" s="1"/>
  <c r="O53" i="4" s="1"/>
  <c r="P53" i="4" s="1"/>
  <c r="Q53" i="4" s="1"/>
  <c r="R53" i="4" s="1"/>
  <c r="S53" i="4" s="1"/>
  <c r="T53" i="4" s="1"/>
  <c r="F68" i="4" s="1"/>
  <c r="M51" i="4"/>
  <c r="T51" i="4"/>
  <c r="L51" i="4"/>
  <c r="S51" i="4"/>
  <c r="K51" i="4"/>
  <c r="R51" i="4"/>
  <c r="Q51" i="4"/>
  <c r="O51" i="4"/>
  <c r="P51" i="4"/>
  <c r="N51" i="4"/>
  <c r="E123" i="2"/>
  <c r="B123" i="2"/>
  <c r="L26" i="4" l="1"/>
  <c r="M26" i="4"/>
  <c r="P26" i="4"/>
  <c r="Q26" i="4"/>
  <c r="R26" i="4"/>
  <c r="S26" i="4"/>
  <c r="T26" i="4"/>
  <c r="K26" i="4"/>
  <c r="N26" i="4"/>
  <c r="O26" i="4"/>
  <c r="K27" i="4"/>
  <c r="L27" i="4" s="1"/>
  <c r="M27" i="4" s="1"/>
  <c r="N27" i="4" s="1"/>
  <c r="O27" i="4" s="1"/>
  <c r="P27" i="4" s="1"/>
  <c r="Q27" i="4" s="1"/>
  <c r="R27" i="4" s="1"/>
  <c r="S27" i="4" s="1"/>
  <c r="T27" i="4" s="1"/>
  <c r="H39" i="4" s="1"/>
  <c r="O28" i="4"/>
  <c r="O29" i="4" s="1"/>
  <c r="B87" i="2"/>
  <c r="B88" i="2" s="1"/>
  <c r="J118" i="2"/>
  <c r="J115" i="2"/>
  <c r="D87" i="2" l="1"/>
  <c r="D8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Waterman-Hoey, Stacey (ECY)</author>
  </authors>
  <commentList>
    <comment ref="A10" authorId="0" shapeId="0" xr:uid="{44CCE0F7-9B7A-4027-A562-CA02D20FDE66}">
      <text>
        <r>
          <rPr>
            <sz val="9"/>
            <color indexed="81"/>
            <rFont val="Tahoma"/>
            <family val="2"/>
          </rPr>
          <t xml:space="preserve">SEEP Agencies: this is your SEEP Governing Council member. 
Non-SEEP agencies: enter your agency executive leadership member who reviewed and approved this report.  </t>
        </r>
      </text>
    </comment>
    <comment ref="A16" authorId="0" shapeId="0" xr:uid="{30F83B49-D0B3-4C82-ABA6-3CA5E842099F}">
      <text>
        <r>
          <rPr>
            <sz val="9"/>
            <color indexed="81"/>
            <rFont val="Tahoma"/>
            <family val="2"/>
          </rPr>
          <t>Source for this data: OFM Facilities Inventory System
https://ofm.wa.gov/facilities/facilities-inventory</t>
        </r>
      </text>
    </comment>
    <comment ref="D25" authorId="0" shapeId="0" xr:uid="{BD2B01D7-2D23-4A8A-8F1B-0B81937FB646}">
      <text>
        <r>
          <rPr>
            <sz val="9"/>
            <color indexed="81"/>
            <rFont val="Tahoma"/>
            <family val="2"/>
          </rPr>
          <t xml:space="preserve">Net-metering is an arrangement with a local utility to purchase excess generation from a power source. This is often used in a facility with an on-site solar installations. Any electricity not used by the facility at any moment can go back onto the grid and be purchased by the local utility.  </t>
        </r>
        <r>
          <rPr>
            <b/>
            <sz val="9"/>
            <color indexed="81"/>
            <rFont val="Tahoma"/>
            <family val="2"/>
          </rPr>
          <t xml:space="preserve">Electricity </t>
        </r>
        <r>
          <rPr>
            <b/>
            <u/>
            <sz val="9"/>
            <color indexed="81"/>
            <rFont val="Tahoma"/>
            <family val="2"/>
          </rPr>
          <t>not</t>
        </r>
        <r>
          <rPr>
            <b/>
            <sz val="9"/>
            <color indexed="81"/>
            <rFont val="Tahoma"/>
            <family val="2"/>
          </rPr>
          <t xml:space="preserve"> used by the facility and sold back to the grid is not included in the agency's emissions calculator. </t>
        </r>
        <r>
          <rPr>
            <sz val="9"/>
            <color indexed="81"/>
            <rFont val="Tahoma"/>
            <family val="2"/>
          </rPr>
          <t xml:space="preserve">Additionally, RECs are not recorded anywhere in this calculator, regardless of whether they are from on-site generation or purchased. However, we are interested to track </t>
        </r>
        <r>
          <rPr>
            <b/>
            <sz val="9"/>
            <color indexed="81"/>
            <rFont val="Tahoma"/>
            <family val="2"/>
          </rPr>
          <t>surplus</t>
        </r>
        <r>
          <rPr>
            <sz val="9"/>
            <color indexed="81"/>
            <rFont val="Tahoma"/>
            <family val="2"/>
          </rPr>
          <t xml:space="preserve"> renewable generation sold back to the utility with RECs intact and have included an option to record that quantity here. Agencies will need to confirm with their utility that the utility is also not claiming RECs for this power. (If they are, they should be paying you!) 
 </t>
        </r>
        <r>
          <rPr>
            <sz val="9"/>
            <color indexed="10"/>
            <rFont val="Tahoma"/>
            <family val="2"/>
          </rPr>
          <t xml:space="preserve">
</t>
        </r>
        <r>
          <rPr>
            <b/>
            <sz val="9"/>
            <color indexed="10"/>
            <rFont val="Tahoma"/>
            <family val="2"/>
          </rPr>
          <t>For reporting in this calculator:</t>
        </r>
        <r>
          <rPr>
            <sz val="9"/>
            <color indexed="81"/>
            <rFont val="Tahoma"/>
            <family val="2"/>
          </rPr>
          <t xml:space="preserve">
    </t>
        </r>
        <r>
          <rPr>
            <b/>
            <sz val="9"/>
            <color indexed="81"/>
            <rFont val="Tahoma"/>
            <family val="2"/>
          </rPr>
          <t xml:space="preserve">&gt; Generation consumed on site </t>
        </r>
        <r>
          <rPr>
            <b/>
            <u/>
            <sz val="9"/>
            <color indexed="81"/>
            <rFont val="Tahoma"/>
            <family val="2"/>
          </rPr>
          <t>with</t>
        </r>
        <r>
          <rPr>
            <b/>
            <sz val="9"/>
            <color indexed="81"/>
            <rFont val="Tahoma"/>
            <family val="2"/>
          </rPr>
          <t xml:space="preserve"> RECs intact </t>
        </r>
        <r>
          <rPr>
            <sz val="9"/>
            <color indexed="81"/>
            <rFont val="Tahoma"/>
            <family val="2"/>
          </rPr>
          <t xml:space="preserve">= Report electricity in kilowatt-hours (kWh) in the calculator as renewable electricity production. 
    </t>
        </r>
        <r>
          <rPr>
            <b/>
            <sz val="9"/>
            <color indexed="81"/>
            <rFont val="Tahoma"/>
            <family val="2"/>
          </rPr>
          <t xml:space="preserve">&gt; Generation consumed on site </t>
        </r>
        <r>
          <rPr>
            <b/>
            <u/>
            <sz val="9"/>
            <color indexed="81"/>
            <rFont val="Tahoma"/>
            <family val="2"/>
          </rPr>
          <t>without</t>
        </r>
        <r>
          <rPr>
            <b/>
            <sz val="9"/>
            <color indexed="81"/>
            <rFont val="Tahoma"/>
            <family val="2"/>
          </rPr>
          <t xml:space="preserve"> RECs </t>
        </r>
        <r>
          <rPr>
            <sz val="9"/>
            <color indexed="81"/>
            <rFont val="Tahoma"/>
            <family val="2"/>
          </rPr>
          <t xml:space="preserve">= Report electricity in kilowatt-hours (kWh) in the calculator by adding to standard utility retail purchases. This generation will be assigned the WA state average emission factor. Selling RECs means selling the rights to claiming the renewable attributes to this electricity.
     </t>
        </r>
        <r>
          <rPr>
            <b/>
            <sz val="9"/>
            <color indexed="81"/>
            <rFont val="Tahoma"/>
            <family val="2"/>
          </rPr>
          <t xml:space="preserve">&gt; Surplus renewable generation sold back to the utility with </t>
        </r>
        <r>
          <rPr>
            <b/>
            <u/>
            <sz val="9"/>
            <color indexed="81"/>
            <rFont val="Tahoma"/>
            <family val="2"/>
          </rPr>
          <t>the agency retaining all environmental attributes (meaning the agency is not selling RECs AND the utility is not claiming RECs)</t>
        </r>
        <r>
          <rPr>
            <sz val="9"/>
            <color indexed="81"/>
            <rFont val="Tahoma"/>
            <family val="2"/>
          </rPr>
          <t xml:space="preserve"> = report electricity in kilowatt-hours (kWh) in the calculator in </t>
        </r>
        <r>
          <rPr>
            <b/>
            <sz val="9"/>
            <color indexed="10"/>
            <rFont val="Tahoma"/>
            <family val="2"/>
          </rPr>
          <t>cell E25.</t>
        </r>
        <r>
          <rPr>
            <sz val="9"/>
            <color indexed="81"/>
            <rFont val="Tahoma"/>
            <family val="2"/>
          </rPr>
          <t xml:space="preserve"> Note, this data is for informational purposes only and not required for GHG reporting. Renewable generation sold back to the utility where the utility claims the RECS is no longer considered renewable and not recorded here.
</t>
        </r>
      </text>
    </comment>
    <comment ref="A29" authorId="0" shapeId="0" xr:uid="{73F23FF5-7CD3-4C3F-BD6F-2F13B0BBB258}">
      <text>
        <r>
          <rPr>
            <sz val="9"/>
            <color indexed="81"/>
            <rFont val="Tahoma"/>
            <family val="2"/>
          </rPr>
          <t>Agency must have an actual power contract, not REC purchase.</t>
        </r>
      </text>
    </comment>
    <comment ref="A33" authorId="0" shapeId="0" xr:uid="{2F3535D4-6553-4E2D-89BA-80FD26D5A1F5}">
      <text>
        <r>
          <rPr>
            <sz val="9"/>
            <color indexed="81"/>
            <rFont val="Tahoma"/>
            <family val="2"/>
          </rPr>
          <t xml:space="preserve">If the agency sells the RECS (renewable energy credits) from self-generated electricity, it may not report this electricity as renewable. This electricity is added to Standard Utility Retail Electricity. Electricity from a community solar program may not be reported as renewable if the utility retains the RECs for its own use. To be reported as Renewable, RECs must remain intact. See additional notes in cell D25 about surplus net-metered renewable generation.
</t>
        </r>
        <r>
          <rPr>
            <b/>
            <sz val="9"/>
            <color indexed="81"/>
            <rFont val="Tahoma"/>
            <family val="2"/>
          </rPr>
          <t>Definition of Renewable Resources (RCW 19.285.030)</t>
        </r>
        <r>
          <rPr>
            <sz val="9"/>
            <color indexed="81"/>
            <rFont val="Tahoma"/>
            <family val="2"/>
          </rPr>
          <t xml:space="preserve">
"Renewable resource" means: (a) Water; (b) wind; (c) solar energy; (d) geothermal energy; (e) landfill gas; (f) wave, ocean, or tidal power; (g) gas from sewage treatment facilities; (h) biodiesel fuel that is not derived from crops raised on land cleared from old growth or first-growth forests where the clearing occurred after December 7, 2006; or (i) biomass energy.</t>
        </r>
      </text>
    </comment>
    <comment ref="A37" authorId="0" shapeId="0" xr:uid="{D69FAEFD-D3C4-4D40-B607-727BD18F3A70}">
      <text>
        <r>
          <rPr>
            <sz val="9"/>
            <color indexed="81"/>
            <rFont val="Tahoma"/>
            <family val="2"/>
          </rPr>
          <t>For example, from boilers, furnaces, generators or any other on-site combustion from non-mobile sources.</t>
        </r>
      </text>
    </comment>
    <comment ref="C57" authorId="0" shapeId="0" xr:uid="{427F0219-D91D-43CE-9A32-AC4B3D2DB12E}">
      <text>
        <r>
          <rPr>
            <sz val="9"/>
            <color indexed="81"/>
            <rFont val="Tahoma"/>
            <family val="2"/>
          </rPr>
          <t>Modify if you know the % biofuel for your agency.
Biogenic emissions are included in subtotals but excluded from total.</t>
        </r>
      </text>
    </comment>
    <comment ref="C60" authorId="0" shapeId="0" xr:uid="{3B944671-2C38-4E4A-B386-53D1CD01835F}">
      <text>
        <r>
          <rPr>
            <sz val="9"/>
            <color indexed="81"/>
            <rFont val="Tahoma"/>
            <charset val="1"/>
          </rPr>
          <t xml:space="preserve">3/2025 note: For calendar year 2024, WSDOT fueling stations included 4.8% biodiesel and 55.6% renewable fuel; in total 60.4% biofuel.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Bruns, Emily (ECY)</author>
    <author>Waterman-Hoey, Stacey (ECY)</author>
    <author>Patschke, Lynsie (ECY)</author>
  </authors>
  <commentList>
    <comment ref="B10" authorId="0" shapeId="0" xr:uid="{F33E4E3C-8DC3-4AAA-8B67-22708F17652F}">
      <text>
        <r>
          <rPr>
            <sz val="9"/>
            <color rgb="FF000000"/>
            <rFont val="Tahoma"/>
            <family val="2"/>
          </rPr>
          <t>Source: EPA Energy Star Program
https://portfoliomanager.energystar.gov/pdf/reference/Thermal%20Conversions.pdf</t>
        </r>
      </text>
    </comment>
    <comment ref="C15" authorId="1" shapeId="0" xr:uid="{ABD7D9ED-F3C5-4F88-B634-DC840BD7A6BD}">
      <text>
        <r>
          <rPr>
            <sz val="9"/>
            <color indexed="81"/>
            <rFont val="Tahoma"/>
            <family val="2"/>
          </rPr>
          <t>https://www.eia.gov/environment/emissions/co2_vol_mass.php</t>
        </r>
      </text>
    </comment>
    <comment ref="E15" authorId="1" shapeId="0" xr:uid="{70CBF89A-48AA-412A-9016-318E8A92FC07}">
      <text>
        <r>
          <rPr>
            <sz val="9"/>
            <color indexed="81"/>
            <rFont val="Tahoma"/>
            <family val="2"/>
          </rPr>
          <t>https://www.epa.gov/system/files/documents/2023-03/ghg_emission_factors_hub.pdf</t>
        </r>
      </text>
    </comment>
    <comment ref="G15" authorId="1" shapeId="0" xr:uid="{7CB1C567-45BB-435E-8AF7-FA9B7E0EC10B}">
      <text>
        <r>
          <rPr>
            <sz val="9"/>
            <color indexed="81"/>
            <rFont val="Tahoma"/>
            <family val="2"/>
          </rPr>
          <t>https://www.epa.gov/system/files/documents/2023-03/ghg_emission_factors_hub.pdf</t>
        </r>
      </text>
    </comment>
    <comment ref="A17" authorId="1" shapeId="0" xr:uid="{7B0EBD3D-0849-4FE5-B5A2-D2547B780D50}">
      <text>
        <r>
          <rPr>
            <sz val="9"/>
            <color indexed="81"/>
            <rFont val="Tahoma"/>
            <family val="2"/>
          </rPr>
          <t>EPA Emission Factors for Greenhouse Gas Inventories (AR4)
https://www.epa.gov/system/files/documents/2023-03/ghg_emission_factors_hub.pdf</t>
        </r>
      </text>
    </comment>
    <comment ref="C19" authorId="1" shapeId="0" xr:uid="{14763DE8-0857-4D9D-A972-551BD24F3628}">
      <text>
        <r>
          <rPr>
            <sz val="9"/>
            <color indexed="81"/>
            <rFont val="Tahoma"/>
            <family val="2"/>
          </rPr>
          <t>https://www.eia.gov/environment/emissions/co2_vol_mass.php</t>
        </r>
      </text>
    </comment>
    <comment ref="C20" authorId="1" shapeId="0" xr:uid="{67C2206F-76E3-4597-9868-567B558A2810}">
      <text>
        <r>
          <rPr>
            <sz val="9"/>
            <color indexed="81"/>
            <rFont val="Tahoma"/>
            <family val="2"/>
          </rPr>
          <t>https://www.eia.gov/environment/emissions/co2_vol_mass.php</t>
        </r>
      </text>
    </comment>
    <comment ref="C21" authorId="1" shapeId="0" xr:uid="{D25A80BA-A128-45CF-B535-375734165EE0}">
      <text>
        <r>
          <rPr>
            <sz val="9"/>
            <color indexed="81"/>
            <rFont val="Tahoma"/>
            <family val="2"/>
          </rPr>
          <t>https://www.eia.gov/environment/emissions/co2_vol_mass.php</t>
        </r>
      </text>
    </comment>
    <comment ref="C22" authorId="1" shapeId="0" xr:uid="{76741DD6-0C16-4224-BEBB-33CD6F6DB840}">
      <text>
        <r>
          <rPr>
            <sz val="9"/>
            <color indexed="81"/>
            <rFont val="Tahoma"/>
            <family val="2"/>
          </rPr>
          <t>The EIA updated the CO2 emission coeffients by fuel in 2024 (see https://www.eia.gov/environment/emissions/co2_vol_mass.php).
To stay consistent with the EPA emission factors (AR4) (see https://www.epa.gov/system/files/documents/2023-03/ghg_emission_factors_hub.pdf), this number was not updated to the 2024 EIA coefficient.</t>
        </r>
      </text>
    </comment>
    <comment ref="A32" authorId="1" shapeId="0" xr:uid="{3BC4AF41-D183-4F52-81EA-72F15A0925E5}">
      <text>
        <r>
          <rPr>
            <sz val="9"/>
            <color indexed="81"/>
            <rFont val="Tahoma"/>
            <family val="2"/>
          </rPr>
          <t xml:space="preserve">CO2, CH4, and N2O purchased steam EFs - EPA Emission Factors for Greenhouse Gas Inventories (AR4)
https://www.epa.gov/system/files/documents/2023-03/ghg_emission_factors_hub.pdf
</t>
        </r>
      </text>
    </comment>
    <comment ref="B38" authorId="2" shapeId="0" xr:uid="{4DB125CF-5DEA-4CE6-89C6-E2E8A16B92DC}">
      <text>
        <r>
          <rPr>
            <sz val="9"/>
            <color indexed="81"/>
            <rFont val="Tahoma"/>
            <family val="2"/>
          </rPr>
          <t>Source: EPA 40 C.F.R Part 98, Subpart C, Table C-1
https://www.ecfr.gov/current/title-40/part-98/appendix-Table C-1 to Subpart C of Part 98</t>
        </r>
      </text>
    </comment>
    <comment ref="D38" authorId="2" shapeId="0" xr:uid="{739800AD-7831-49E2-B368-3DD09854800E}">
      <text>
        <r>
          <rPr>
            <sz val="9"/>
            <color indexed="81"/>
            <rFont val="Tahoma"/>
            <family val="2"/>
          </rPr>
          <t>EPA Emission Factors for Greenhouse Gas Inventories (AR4) - Table 2
https://www.epa.gov/system/files/documents/2023-03/ghg_emission_factors_hub.pdf</t>
        </r>
      </text>
    </comment>
    <comment ref="E38" authorId="2" shapeId="0" xr:uid="{035725B9-673B-44C8-8E09-B779EA718768}">
      <text>
        <r>
          <rPr>
            <sz val="9"/>
            <color indexed="81"/>
            <rFont val="Tahoma"/>
            <family val="2"/>
          </rPr>
          <t>EPA Emission Factors for Greenhouse Gas Inventories (AR4) - Tables 3 and 4 require vehicle miles traveled. As a substitute, emission factors from Table 1, Stationary Combustion, were used here.
https://www.epa.gov/system/files/documents/2023-03/ghg_emission_factors_hub.pdf</t>
        </r>
      </text>
    </comment>
    <comment ref="G38" authorId="2" shapeId="0" xr:uid="{D6CE4EB0-49CE-4342-8A61-7C9738AF5576}">
      <text>
        <r>
          <rPr>
            <sz val="9"/>
            <color indexed="81"/>
            <rFont val="Tahoma"/>
            <family val="2"/>
          </rPr>
          <t>EPA Emission Factors for Greenhouse Gas Inventories (AR4) - Tables 3 and 4 require vehicle miles traveled. As a substitute, emission factors from Table 1, Stationary Combustion, were used here.
https://www.epa.gov/system/files/documents/2023-03/ghg_emission_factors_hub.pdf</t>
        </r>
      </text>
    </comment>
    <comment ref="B94" authorId="1" shapeId="0" xr:uid="{27302234-64E7-4C6D-BAA9-E103C70A92B6}">
      <text>
        <r>
          <rPr>
            <sz val="9"/>
            <color indexed="81"/>
            <rFont val="Tahoma"/>
            <family val="2"/>
          </rPr>
          <t>Source: 2021 EIA Electric Sales and Revenue Report. 
All sectors and Commercial sector- Table 10
https://www.eia.gov/electricity/sales_revenue_price/</t>
        </r>
      </text>
    </comment>
    <comment ref="C94" authorId="1" shapeId="0" xr:uid="{411BCE3A-A3AA-4B84-9522-2F6BD12DF6F1}">
      <text>
        <r>
          <rPr>
            <sz val="9"/>
            <color indexed="81"/>
            <rFont val="Tahoma"/>
            <family val="2"/>
          </rPr>
          <t>Source: 2021 EIA Electric Sales and Revenue Report. 
All sectors and Commercial sector- Table 7
https://www.eia.gov/electricity/sales_revenue_price/</t>
        </r>
      </text>
    </comment>
    <comment ref="B95" authorId="1" shapeId="0" xr:uid="{4CB4C1EB-4D57-4D2C-AEE7-9526BD287F0E}">
      <text>
        <r>
          <rPr>
            <sz val="9"/>
            <color indexed="81"/>
            <rFont val="Tahoma"/>
            <charset val="1"/>
          </rPr>
          <t>Table 4</t>
        </r>
      </text>
    </comment>
    <comment ref="C95" authorId="1" shapeId="0" xr:uid="{37477F42-C814-44D0-8BF9-9F902CA6C1C3}">
      <text>
        <r>
          <rPr>
            <sz val="9"/>
            <color indexed="81"/>
            <rFont val="Tahoma"/>
            <charset val="1"/>
          </rPr>
          <t>Table 5B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Waterman-Hoey, Stacey (ECY)</author>
  </authors>
  <commentList>
    <comment ref="A5" authorId="0" shapeId="0" xr:uid="{E8761C96-9E31-4081-83A5-850DD6BB4106}">
      <text>
        <r>
          <rPr>
            <sz val="9"/>
            <color indexed="81"/>
            <rFont val="Tahoma"/>
            <family val="2"/>
          </rPr>
          <t>The Clean Energy Transformation Act (CETA) (SB 5116, 2019) requires that electricity providers eliminate coal by 2025, be GHG neutral by 2030 and 100% clean by 2045.  The intent of this law is to eliminate fossil fuels from the electricity supply. 
https://www.commerce.wa.gov/growing-the-economy/energy/ceta/</t>
        </r>
      </text>
    </comment>
    <comment ref="B50" authorId="0" shapeId="0" xr:uid="{4AA902F0-C810-4FE2-A0F4-95A80D07289B}">
      <text>
        <r>
          <rPr>
            <sz val="9"/>
            <color indexed="81"/>
            <rFont val="Tahoma"/>
            <family val="2"/>
          </rPr>
          <t>Select WA State average $/kwh or average utility $/kwh from reference sheet, or enter your own $/kwh data.</t>
        </r>
      </text>
    </comment>
    <comment ref="B53" authorId="0" shapeId="0" xr:uid="{BF935CD8-AFB2-4337-9232-FB8DE8FCC1CF}">
      <text>
        <r>
          <rPr>
            <sz val="9"/>
            <color indexed="81"/>
            <rFont val="Tahoma"/>
            <family val="2"/>
          </rPr>
          <t xml:space="preserve">Use default WA Commercial sector retail price or enter your own $/therm data.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Waterman-Hoey, Stacey (ECY)</author>
    <author>Patschke, Lynsie (ECY)</author>
  </authors>
  <commentList>
    <comment ref="L6" authorId="0" shapeId="0" xr:uid="{65EB28C8-8B88-4387-A0D1-5E05DF295FB2}">
      <text>
        <r>
          <rPr>
            <b/>
            <sz val="9"/>
            <color indexed="81"/>
            <rFont val="Tahoma"/>
            <family val="2"/>
          </rPr>
          <t>Waterman-Hoey, Stacey (ECY):</t>
        </r>
        <r>
          <rPr>
            <sz val="9"/>
            <color indexed="81"/>
            <rFont val="Tahoma"/>
            <family val="2"/>
          </rPr>
          <t xml:space="preserve">
review</t>
        </r>
      </text>
    </comment>
    <comment ref="K11" authorId="1" shapeId="0" xr:uid="{4172D8DA-57F3-4F39-AAAD-1B33F6FD3CCB}">
      <text>
        <r>
          <rPr>
            <sz val="9"/>
            <color indexed="81"/>
            <rFont val="Tahoma"/>
            <family val="2"/>
          </rPr>
          <t>Revised in 2024</t>
        </r>
      </text>
    </comment>
    <comment ref="L11" authorId="1" shapeId="0" xr:uid="{B4BB9A97-A9B1-4D40-B71B-835BE493711C}">
      <text>
        <r>
          <rPr>
            <sz val="9"/>
            <color indexed="81"/>
            <rFont val="Tahoma"/>
            <family val="2"/>
          </rPr>
          <t>Revised in 2024</t>
        </r>
      </text>
    </comment>
    <comment ref="M11" authorId="1" shapeId="0" xr:uid="{24FBB83B-B199-4468-83C4-72BE3F647E4B}">
      <text>
        <r>
          <rPr>
            <sz val="9"/>
            <color indexed="81"/>
            <rFont val="Tahoma"/>
            <family val="2"/>
          </rPr>
          <t xml:space="preserve">Revised in 2024
</t>
        </r>
      </text>
    </comment>
    <comment ref="N11" authorId="1" shapeId="0" xr:uid="{2DA27103-9D41-4D3D-B32C-F503082869C9}">
      <text>
        <r>
          <rPr>
            <sz val="9"/>
            <color indexed="81"/>
            <rFont val="Tahoma"/>
            <family val="2"/>
          </rPr>
          <t>Revised in 2024</t>
        </r>
      </text>
    </comment>
    <comment ref="O11" authorId="1" shapeId="0" xr:uid="{24C092D6-D661-4C9B-872A-1DEABA2A0453}">
      <text>
        <r>
          <rPr>
            <sz val="9"/>
            <color indexed="81"/>
            <rFont val="Tahoma"/>
            <family val="2"/>
          </rPr>
          <t>Revised in 2024</t>
        </r>
      </text>
    </comment>
    <comment ref="P11" authorId="1" shapeId="0" xr:uid="{0DB885C6-CBCF-4ACD-863D-047B059F4CCB}">
      <text>
        <r>
          <rPr>
            <sz val="9"/>
            <color indexed="81"/>
            <rFont val="Tahoma"/>
            <family val="2"/>
          </rPr>
          <t>Revised in 2024</t>
        </r>
      </text>
    </comment>
    <comment ref="A14" authorId="0" shapeId="0" xr:uid="{F975DECE-0A22-42B8-95AF-EFA6FB94C180}">
      <text>
        <r>
          <rPr>
            <b/>
            <sz val="9"/>
            <color indexed="81"/>
            <rFont val="Tahoma"/>
            <family val="2"/>
          </rPr>
          <t>Waterman-Hoey, Stacey (ECY):</t>
        </r>
        <r>
          <rPr>
            <sz val="9"/>
            <color indexed="81"/>
            <rFont val="Tahoma"/>
            <family val="2"/>
          </rPr>
          <t xml:space="preserve">
I couldn't find references to actual reported data prior to 2011. Many subsequent years analyses show an estimate of VA emissions based on that last year of reported data. I have removed the estimated years here. </t>
        </r>
      </text>
    </comment>
    <comment ref="I22" authorId="0" shapeId="0" xr:uid="{CE142056-CAD6-432B-8506-A21312284D11}">
      <text>
        <r>
          <rPr>
            <b/>
            <sz val="9"/>
            <color indexed="81"/>
            <rFont val="Tahoma"/>
            <family val="2"/>
          </rPr>
          <t>Waterman-Hoey, Stacey (ECY):</t>
        </r>
        <r>
          <rPr>
            <sz val="9"/>
            <color indexed="81"/>
            <rFont val="Tahoma"/>
            <family val="2"/>
          </rPr>
          <t xml:space="preserve">
This appears to be when SCC began using a utility-specific EF</t>
        </r>
      </text>
    </comment>
    <comment ref="J22" authorId="0" shapeId="0" xr:uid="{A7D7BE12-5A71-4D9D-BA4F-0FACD0CC1828}">
      <text>
        <r>
          <rPr>
            <b/>
            <sz val="9"/>
            <color indexed="81"/>
            <rFont val="Tahoma"/>
            <family val="2"/>
          </rPr>
          <t>Waterman-Hoey, Stacey (ECY):</t>
        </r>
        <r>
          <rPr>
            <sz val="9"/>
            <color indexed="81"/>
            <rFont val="Tahoma"/>
            <family val="2"/>
          </rPr>
          <t xml:space="preserve">
This appears to be when SCC began using a utility-specific EF</t>
        </r>
      </text>
    </comment>
    <comment ref="K22" authorId="0" shapeId="0" xr:uid="{863D069B-C8C6-4E6F-A398-91E127384306}">
      <text>
        <r>
          <rPr>
            <b/>
            <sz val="9"/>
            <color indexed="81"/>
            <rFont val="Tahoma"/>
            <family val="2"/>
          </rPr>
          <t>Waterman-Hoey, Stacey (ECY):</t>
        </r>
        <r>
          <rPr>
            <sz val="9"/>
            <color indexed="81"/>
            <rFont val="Tahoma"/>
            <family val="2"/>
          </rPr>
          <t xml:space="preserve">
This appears to be when SCC began using a utility-specific EF</t>
        </r>
      </text>
    </comment>
    <comment ref="L22" authorId="0" shapeId="0" xr:uid="{62C86FDD-59B9-4CCC-A7A0-115E068E87A0}">
      <text>
        <r>
          <rPr>
            <b/>
            <sz val="9"/>
            <color indexed="81"/>
            <rFont val="Tahoma"/>
            <family val="2"/>
          </rPr>
          <t>Waterman-Hoey, Stacey (ECY):</t>
        </r>
        <r>
          <rPr>
            <sz val="9"/>
            <color indexed="81"/>
            <rFont val="Tahoma"/>
            <family val="2"/>
          </rPr>
          <t xml:space="preserve">
This appears to be when SCC began using a utility-specific EF</t>
        </r>
      </text>
    </comment>
    <comment ref="M22" authorId="0" shapeId="0" xr:uid="{4D3CA53F-8030-45CB-B605-6E991BB5F192}">
      <text>
        <r>
          <rPr>
            <b/>
            <sz val="9"/>
            <color indexed="81"/>
            <rFont val="Tahoma"/>
            <family val="2"/>
          </rPr>
          <t>Waterman-Hoey, Stacey (ECY):</t>
        </r>
        <r>
          <rPr>
            <sz val="9"/>
            <color indexed="81"/>
            <rFont val="Tahoma"/>
            <family val="2"/>
          </rPr>
          <t xml:space="preserve">
This figure applies WA avg EF for electricity consumption, overriding the util-specific EF they previously used. </t>
        </r>
      </text>
    </comment>
    <comment ref="O25" authorId="0" shapeId="0" xr:uid="{3BD42A2D-3B17-46D2-A5FE-85B4A42CCED0}">
      <text>
        <r>
          <rPr>
            <sz val="9"/>
            <color indexed="81"/>
            <rFont val="Tahoma"/>
            <charset val="1"/>
          </rPr>
          <t>Adjusted data</t>
        </r>
      </text>
    </comment>
    <comment ref="P25" authorId="1" shapeId="0" xr:uid="{10ED01CC-78E5-40CB-91FB-0C214DFF2695}">
      <text>
        <r>
          <rPr>
            <sz val="9"/>
            <color indexed="81"/>
            <rFont val="Tahoma"/>
            <family val="2"/>
          </rPr>
          <t xml:space="preserve">Adjusted data
</t>
        </r>
      </text>
    </comment>
    <comment ref="E26" authorId="0" shapeId="0" xr:uid="{2FFB856A-1BB6-406B-8933-C36D5AFAB052}">
      <text>
        <r>
          <rPr>
            <b/>
            <sz val="9"/>
            <color indexed="81"/>
            <rFont val="Tahoma"/>
            <family val="2"/>
          </rPr>
          <t>Waterman-Hoey, Stacey (ECY):</t>
        </r>
        <r>
          <rPr>
            <sz val="9"/>
            <color indexed="81"/>
            <rFont val="Tahoma"/>
            <family val="2"/>
          </rPr>
          <t xml:space="preserve">
This number seems anomolous.</t>
        </r>
      </text>
    </comment>
    <comment ref="O28" authorId="1" shapeId="0" xr:uid="{0E4976C7-BDFF-4B6C-9A6C-39C737E77D0A}">
      <text>
        <r>
          <rPr>
            <sz val="9"/>
            <color indexed="81"/>
            <rFont val="Tahoma"/>
            <family val="2"/>
          </rPr>
          <t xml:space="preserve">Updated in 2024
</t>
        </r>
      </text>
    </comment>
  </commentList>
</comments>
</file>

<file path=xl/sharedStrings.xml><?xml version="1.0" encoding="utf-8"?>
<sst xmlns="http://schemas.openxmlformats.org/spreadsheetml/2006/main" count="747" uniqueCount="559">
  <si>
    <t>Agency owned space (sq. ft.)</t>
  </si>
  <si>
    <t>Space leased in a DES owned building (sq. ft.)</t>
  </si>
  <si>
    <t xml:space="preserve"> </t>
  </si>
  <si>
    <t>Space leased from another state agency (sq. ft.)</t>
  </si>
  <si>
    <t>Space leased in a privately owned building (sq. ft.)</t>
  </si>
  <si>
    <t>Section 1: Agency Information</t>
  </si>
  <si>
    <t>Emission Sources</t>
  </si>
  <si>
    <t>Fuel type</t>
  </si>
  <si>
    <t>Natural gas (therms)</t>
  </si>
  <si>
    <t>Diesel (gallons)</t>
  </si>
  <si>
    <t>Propane (gallons)</t>
  </si>
  <si>
    <t>Fuel oil (gallons)</t>
  </si>
  <si>
    <t>Gasoline (gallons)</t>
  </si>
  <si>
    <t>Motor Vehicles</t>
  </si>
  <si>
    <t>Fuel quantity (gallons)</t>
  </si>
  <si>
    <t>Gasoline</t>
  </si>
  <si>
    <t>Diesel: Retail purchases</t>
  </si>
  <si>
    <t>Diesel: WSDOT fueling stations</t>
  </si>
  <si>
    <t>Diesel: Bulk purchases</t>
  </si>
  <si>
    <t>Propane</t>
  </si>
  <si>
    <t>Boats (excluding ferries)</t>
  </si>
  <si>
    <t>Diesel</t>
  </si>
  <si>
    <t>Ferries</t>
  </si>
  <si>
    <t>Aircraft</t>
  </si>
  <si>
    <t>Aviation gasoline</t>
  </si>
  <si>
    <t>Jet fuel</t>
  </si>
  <si>
    <t>Natural gas</t>
  </si>
  <si>
    <t>Fuel oil</t>
  </si>
  <si>
    <t>Electricity</t>
  </si>
  <si>
    <t>Purchased steam</t>
  </si>
  <si>
    <t>Motor vehicles</t>
  </si>
  <si>
    <t>Reference Data</t>
  </si>
  <si>
    <t>Conversion Factors</t>
  </si>
  <si>
    <t>kg/MT</t>
  </si>
  <si>
    <t>lb/kg</t>
  </si>
  <si>
    <t>gal/bbl liquid fuel</t>
  </si>
  <si>
    <t>kWh/MWh</t>
  </si>
  <si>
    <t>MMBtu/klb steam</t>
  </si>
  <si>
    <t>Stationary Sources</t>
  </si>
  <si>
    <t>Fuel</t>
  </si>
  <si>
    <t>Diesel (distillate #2)</t>
  </si>
  <si>
    <t>Fleets</t>
  </si>
  <si>
    <t>Ethanol (E100)</t>
  </si>
  <si>
    <t xml:space="preserve">Diesel  </t>
  </si>
  <si>
    <t>Biodiesel (B100)</t>
  </si>
  <si>
    <t>Global Warming Potentials (100 yr)</t>
  </si>
  <si>
    <t>Source: WAC 173-441</t>
  </si>
  <si>
    <t>Reporters</t>
  </si>
  <si>
    <t>Fuel Type</t>
  </si>
  <si>
    <t>Fuel Quantity</t>
  </si>
  <si>
    <t xml:space="preserve">Bio/ Renewable Diesel % </t>
  </si>
  <si>
    <t>CO2e (MT)</t>
  </si>
  <si>
    <t>Section 2: Building Energy Use</t>
  </si>
  <si>
    <t>Section 3: Fleet Energy Use</t>
  </si>
  <si>
    <t>For questions and assistance, contact:</t>
  </si>
  <si>
    <t>Background for this Report</t>
  </si>
  <si>
    <t>State Agency Greenhouse Gas Emissions Calculator</t>
  </si>
  <si>
    <t>Puget Sound Partnership</t>
  </si>
  <si>
    <t>Electric Utilities</t>
  </si>
  <si>
    <r>
      <t>CO</t>
    </r>
    <r>
      <rPr>
        <vertAlign val="subscript"/>
        <sz val="12"/>
        <color rgb="FF000000"/>
        <rFont val="Calibri"/>
        <family val="2"/>
        <scheme val="minor"/>
      </rPr>
      <t>2</t>
    </r>
  </si>
  <si>
    <r>
      <t>CH</t>
    </r>
    <r>
      <rPr>
        <vertAlign val="subscript"/>
        <sz val="12"/>
        <color rgb="FF000000"/>
        <rFont val="Calibri"/>
        <family val="2"/>
        <scheme val="minor"/>
      </rPr>
      <t>4</t>
    </r>
  </si>
  <si>
    <r>
      <t>N</t>
    </r>
    <r>
      <rPr>
        <vertAlign val="subscript"/>
        <sz val="12"/>
        <color rgb="FF000000"/>
        <rFont val="Calibri"/>
        <family val="2"/>
        <scheme val="minor"/>
      </rPr>
      <t>2</t>
    </r>
    <r>
      <rPr>
        <sz val="12"/>
        <color rgb="FF000000"/>
        <rFont val="Calibri"/>
        <family val="2"/>
        <scheme val="minor"/>
      </rPr>
      <t>O</t>
    </r>
  </si>
  <si>
    <r>
      <t>CO</t>
    </r>
    <r>
      <rPr>
        <b/>
        <vertAlign val="subscript"/>
        <sz val="11"/>
        <color theme="1"/>
        <rFont val="Calibri"/>
        <family val="2"/>
        <scheme val="minor"/>
      </rPr>
      <t>2</t>
    </r>
    <r>
      <rPr>
        <b/>
        <sz val="11"/>
        <color theme="1"/>
        <rFont val="Calibri"/>
        <family val="2"/>
        <scheme val="minor"/>
      </rPr>
      <t xml:space="preserve"> emissions </t>
    </r>
  </si>
  <si>
    <t>(MT CO2)</t>
  </si>
  <si>
    <r>
      <t>CH</t>
    </r>
    <r>
      <rPr>
        <b/>
        <vertAlign val="subscript"/>
        <sz val="11"/>
        <color theme="1"/>
        <rFont val="Calibri"/>
        <family val="2"/>
        <scheme val="minor"/>
      </rPr>
      <t>4</t>
    </r>
    <r>
      <rPr>
        <b/>
        <sz val="11"/>
        <color theme="1"/>
        <rFont val="Calibri"/>
        <family val="2"/>
        <scheme val="minor"/>
      </rPr>
      <t xml:space="preserve"> emissions </t>
    </r>
  </si>
  <si>
    <t>(MT CH4)</t>
  </si>
  <si>
    <r>
      <t>N</t>
    </r>
    <r>
      <rPr>
        <b/>
        <vertAlign val="subscript"/>
        <sz val="11"/>
        <color theme="1"/>
        <rFont val="Calibri"/>
        <family val="2"/>
        <scheme val="minor"/>
      </rPr>
      <t>2</t>
    </r>
    <r>
      <rPr>
        <b/>
        <sz val="11"/>
        <color theme="1"/>
        <rFont val="Calibri"/>
        <family val="2"/>
        <scheme val="minor"/>
      </rPr>
      <t xml:space="preserve">O emissions </t>
    </r>
  </si>
  <si>
    <t>(MT N2O)</t>
  </si>
  <si>
    <t xml:space="preserve">Total emissions </t>
  </si>
  <si>
    <t>(MT CO2e)</t>
  </si>
  <si>
    <r>
      <t>Fossil CO</t>
    </r>
    <r>
      <rPr>
        <b/>
        <vertAlign val="subscript"/>
        <sz val="11"/>
        <color theme="1"/>
        <rFont val="Calibri"/>
        <family val="2"/>
        <scheme val="minor"/>
      </rPr>
      <t>2</t>
    </r>
    <r>
      <rPr>
        <b/>
        <sz val="11"/>
        <color theme="1"/>
        <rFont val="Calibri"/>
        <family val="2"/>
        <scheme val="minor"/>
      </rPr>
      <t xml:space="preserve"> emissions </t>
    </r>
  </si>
  <si>
    <r>
      <t>Biogenic CO</t>
    </r>
    <r>
      <rPr>
        <b/>
        <vertAlign val="subscript"/>
        <sz val="11"/>
        <color theme="1"/>
        <rFont val="Calibri"/>
        <family val="2"/>
        <scheme val="minor"/>
      </rPr>
      <t>2</t>
    </r>
    <r>
      <rPr>
        <b/>
        <sz val="11"/>
        <color theme="1"/>
        <rFont val="Calibri"/>
        <family val="2"/>
        <scheme val="minor"/>
      </rPr>
      <t xml:space="preserve"> emissions </t>
    </r>
  </si>
  <si>
    <t>Total Building Energy Use</t>
  </si>
  <si>
    <t>Agency Code</t>
  </si>
  <si>
    <t xml:space="preserve">Default high heat value </t>
  </si>
  <si>
    <t>(mmBtu/gallon)</t>
  </si>
  <si>
    <r>
      <t>CO</t>
    </r>
    <r>
      <rPr>
        <b/>
        <vertAlign val="subscript"/>
        <sz val="12"/>
        <rFont val="Calibri"/>
        <family val="2"/>
        <scheme val="minor"/>
      </rPr>
      <t>2</t>
    </r>
    <r>
      <rPr>
        <b/>
        <sz val="12"/>
        <rFont val="Calibri"/>
        <family val="2"/>
        <scheme val="minor"/>
      </rPr>
      <t xml:space="preserve"> emission factor </t>
    </r>
  </si>
  <si>
    <t>(MT CO2/bbl)</t>
  </si>
  <si>
    <r>
      <t>CO</t>
    </r>
    <r>
      <rPr>
        <b/>
        <vertAlign val="subscript"/>
        <sz val="12"/>
        <color rgb="FF000000"/>
        <rFont val="Calibri"/>
        <family val="2"/>
        <scheme val="minor"/>
      </rPr>
      <t>2</t>
    </r>
    <r>
      <rPr>
        <b/>
        <sz val="12"/>
        <color rgb="FF000000"/>
        <rFont val="Calibri"/>
        <family val="2"/>
        <scheme val="minor"/>
      </rPr>
      <t xml:space="preserve"> emission factor </t>
    </r>
  </si>
  <si>
    <t>(MT CO2/gallon)</t>
  </si>
  <si>
    <r>
      <t>CH</t>
    </r>
    <r>
      <rPr>
        <b/>
        <vertAlign val="subscript"/>
        <sz val="12"/>
        <rFont val="Calibri"/>
        <family val="2"/>
        <scheme val="minor"/>
      </rPr>
      <t>4</t>
    </r>
    <r>
      <rPr>
        <b/>
        <sz val="12"/>
        <rFont val="Calibri"/>
        <family val="2"/>
        <scheme val="minor"/>
      </rPr>
      <t xml:space="preserve"> emission factor </t>
    </r>
  </si>
  <si>
    <t>(kg CH4/mmBtu)</t>
  </si>
  <si>
    <t>(MT CH4/gallon)</t>
  </si>
  <si>
    <r>
      <t>N</t>
    </r>
    <r>
      <rPr>
        <b/>
        <vertAlign val="subscript"/>
        <sz val="12"/>
        <rFont val="Calibri"/>
        <family val="2"/>
        <scheme val="minor"/>
      </rPr>
      <t>2</t>
    </r>
    <r>
      <rPr>
        <b/>
        <sz val="12"/>
        <rFont val="Calibri"/>
        <family val="2"/>
        <scheme val="minor"/>
      </rPr>
      <t xml:space="preserve">O emissions factor </t>
    </r>
  </si>
  <si>
    <t>(kg N2O/mmBtu)</t>
  </si>
  <si>
    <r>
      <t>N</t>
    </r>
    <r>
      <rPr>
        <b/>
        <vertAlign val="subscript"/>
        <sz val="12"/>
        <rFont val="Calibri"/>
        <family val="2"/>
        <scheme val="minor"/>
      </rPr>
      <t>2</t>
    </r>
    <r>
      <rPr>
        <b/>
        <sz val="12"/>
        <rFont val="Calibri"/>
        <family val="2"/>
        <scheme val="minor"/>
      </rPr>
      <t xml:space="preserve">O emission factor </t>
    </r>
  </si>
  <si>
    <t>(MT N2O/gallon)</t>
  </si>
  <si>
    <t>(MT CO2/kWh)</t>
  </si>
  <si>
    <t>(kg CH4/MWh)</t>
  </si>
  <si>
    <t>(MT CH4/kWh)</t>
  </si>
  <si>
    <t>(kg N2O/MWh)</t>
  </si>
  <si>
    <t>(MT N2O/kWh)</t>
  </si>
  <si>
    <t>Total Building Energy Use Emissions</t>
  </si>
  <si>
    <t>Total Fossil Fleet Energy Use Emissions</t>
  </si>
  <si>
    <t>Total Annual Fossil GHG Emissions</t>
  </si>
  <si>
    <t>(gal)</t>
  </si>
  <si>
    <t>Biofuel qty only</t>
  </si>
  <si>
    <t xml:space="preserve">Central Washington University </t>
  </si>
  <si>
    <t xml:space="preserve">Department of Agriculture </t>
  </si>
  <si>
    <t xml:space="preserve">Department of Commerce </t>
  </si>
  <si>
    <t xml:space="preserve">Department of Corrections </t>
  </si>
  <si>
    <t xml:space="preserve">Department of Ecology </t>
  </si>
  <si>
    <t xml:space="preserve">Department of Enterprise Services </t>
  </si>
  <si>
    <t xml:space="preserve">Department of Fish and Wildlife </t>
  </si>
  <si>
    <t xml:space="preserve">Department of Health </t>
  </si>
  <si>
    <t xml:space="preserve">Department of Labor and Industries </t>
  </si>
  <si>
    <t xml:space="preserve">Department of Licensing </t>
  </si>
  <si>
    <t xml:space="preserve">Department of Natural Resources </t>
  </si>
  <si>
    <t xml:space="preserve">Department of Social and Health Services </t>
  </si>
  <si>
    <t xml:space="preserve">Department of Transportation </t>
  </si>
  <si>
    <t xml:space="preserve">Department of Veterans' Affairs </t>
  </si>
  <si>
    <t xml:space="preserve">Eastern Washington University </t>
  </si>
  <si>
    <t xml:space="preserve">Highline College </t>
  </si>
  <si>
    <t xml:space="preserve">Liquor and Cannabis Board </t>
  </si>
  <si>
    <t xml:space="preserve">Seattle Community College - District 6 </t>
  </si>
  <si>
    <t xml:space="preserve">Spokane Community College - District 17 </t>
  </si>
  <si>
    <t xml:space="preserve">The Evergreen State College </t>
  </si>
  <si>
    <t xml:space="preserve">University of Washington </t>
  </si>
  <si>
    <t xml:space="preserve">Washington State Patrol </t>
  </si>
  <si>
    <t xml:space="preserve">Washington State University </t>
  </si>
  <si>
    <t xml:space="preserve">Western Washington University </t>
  </si>
  <si>
    <t>AGR</t>
  </si>
  <si>
    <t>COM</t>
  </si>
  <si>
    <t>DOC</t>
  </si>
  <si>
    <t>ECY</t>
  </si>
  <si>
    <t>DES</t>
  </si>
  <si>
    <t>DFW</t>
  </si>
  <si>
    <t>DOH</t>
  </si>
  <si>
    <t>DOL</t>
  </si>
  <si>
    <t>DNR</t>
  </si>
  <si>
    <t>DSHS</t>
  </si>
  <si>
    <t>DOT</t>
  </si>
  <si>
    <t>DVA</t>
  </si>
  <si>
    <t>EWU</t>
  </si>
  <si>
    <t>HC</t>
  </si>
  <si>
    <t>LCB</t>
  </si>
  <si>
    <t>PARKS</t>
  </si>
  <si>
    <t>TESC</t>
  </si>
  <si>
    <t>UW</t>
  </si>
  <si>
    <t>WSP</t>
  </si>
  <si>
    <t>WSU</t>
  </si>
  <si>
    <t>WWU</t>
  </si>
  <si>
    <t>CWU</t>
  </si>
  <si>
    <t>Agency Abbreviation</t>
  </si>
  <si>
    <t>Date completed</t>
  </si>
  <si>
    <t>Office of Financial Management</t>
  </si>
  <si>
    <t>OFM</t>
  </si>
  <si>
    <t>PSP</t>
  </si>
  <si>
    <t>Avista Corp</t>
  </si>
  <si>
    <t>Benton Rural Electric Assn</t>
  </si>
  <si>
    <t>Big Bend Electric Coop, Inc</t>
  </si>
  <si>
    <t>Bonneville Power Administration</t>
  </si>
  <si>
    <t>Columbia Rural Elec Assn, Inc</t>
  </si>
  <si>
    <t>Elmhurst Mutual Power &amp; Light Co</t>
  </si>
  <si>
    <t>Inland Power &amp; Light Company</t>
  </si>
  <si>
    <t>Kootenai Electric Cooperative</t>
  </si>
  <si>
    <t>Lakeview Light &amp; Power</t>
  </si>
  <si>
    <t>Modern Electric Water Company</t>
  </si>
  <si>
    <t>Northern Lights, Inc</t>
  </si>
  <si>
    <t>Orcas Power &amp; Light Coop</t>
  </si>
  <si>
    <t>PUD No 1 of Benton County</t>
  </si>
  <si>
    <t>PUD No 1 of Chelan County</t>
  </si>
  <si>
    <t>PUD No 1 of Clallam County</t>
  </si>
  <si>
    <t>PUD No 1 of Cowlitz County</t>
  </si>
  <si>
    <t>PUD No 1 of Douglas County</t>
  </si>
  <si>
    <t>PUD No 1 of Franklin County</t>
  </si>
  <si>
    <t>PUD No 1 of Grays Harbor County</t>
  </si>
  <si>
    <t>PUD No 1 of Jefferson County</t>
  </si>
  <si>
    <t>PUD No 1 of Klickitat County</t>
  </si>
  <si>
    <t>PUD No 1 of Lewis County</t>
  </si>
  <si>
    <t>PUD No 1 of Okanogan County</t>
  </si>
  <si>
    <t>PUD No 1 of Pend Oreille County</t>
  </si>
  <si>
    <t>PUD No 1 of Whatcom County</t>
  </si>
  <si>
    <t>PUD No 2 of Grant County</t>
  </si>
  <si>
    <t>PUD No 2 of Pacific County</t>
  </si>
  <si>
    <t>PUD No 3 of Mason County</t>
  </si>
  <si>
    <t>PacifiCorp</t>
  </si>
  <si>
    <t>Peninsula Light Company</t>
  </si>
  <si>
    <t>Puget Sound Energy Inc</t>
  </si>
  <si>
    <t>Vera Irrigation District #15</t>
  </si>
  <si>
    <t>$/kwh</t>
  </si>
  <si>
    <t>Estimate Electricity Savings</t>
  </si>
  <si>
    <t>kwh savings (from table above)</t>
  </si>
  <si>
    <t>Natural Gas</t>
  </si>
  <si>
    <t>$/gal</t>
  </si>
  <si>
    <t>gallon savings</t>
  </si>
  <si>
    <t>$/therm</t>
  </si>
  <si>
    <t>therm savings</t>
  </si>
  <si>
    <t>Washington State Average</t>
  </si>
  <si>
    <t>https://www.epa.gov/energy/greenhouse-gas-equivalencies-calculator</t>
  </si>
  <si>
    <t>https://www.epa.gov/avert/avert-web-edition</t>
  </si>
  <si>
    <t>EPA Avoided Emissions Calculator:</t>
  </si>
  <si>
    <t>https://www.epa.gov/statelocalenergy/quantifying-multiple-benefits-energy-efficiency-and-renewable-energy-guide-state</t>
  </si>
  <si>
    <t>More on quantifying benefits of efficiency and renewables:</t>
  </si>
  <si>
    <t>Purchased Steam (klbs)</t>
  </si>
  <si>
    <t>Purchased Electricity - Green Power Contract</t>
  </si>
  <si>
    <t>Estimate Cost Savings</t>
  </si>
  <si>
    <t>Additional Tools and Resources:</t>
  </si>
  <si>
    <t xml:space="preserve">More GHG equivalencies here: </t>
  </si>
  <si>
    <t>Agency Name</t>
  </si>
  <si>
    <t>Total conditioned space (sq. ft.)</t>
  </si>
  <si>
    <t xml:space="preserve">Total Fleet Emissions from Energy Use </t>
  </si>
  <si>
    <t>PY2</t>
  </si>
  <si>
    <t>PY3</t>
  </si>
  <si>
    <t>PY4</t>
  </si>
  <si>
    <t>PY5</t>
  </si>
  <si>
    <t>PY6</t>
  </si>
  <si>
    <t>PY7</t>
  </si>
  <si>
    <t>PY8</t>
  </si>
  <si>
    <t>PY9</t>
  </si>
  <si>
    <t>PY10</t>
  </si>
  <si>
    <t>PY1</t>
  </si>
  <si>
    <t>Project Years</t>
  </si>
  <si>
    <t>MTCO2 per year</t>
  </si>
  <si>
    <r>
      <t>3. If you are using d</t>
    </r>
    <r>
      <rPr>
        <b/>
        <sz val="11"/>
        <color theme="1"/>
        <rFont val="Calibri"/>
        <family val="2"/>
        <scheme val="minor"/>
      </rPr>
      <t>iesel with a portion of biodiesel</t>
    </r>
    <r>
      <rPr>
        <sz val="11"/>
        <color theme="1"/>
        <rFont val="Calibri"/>
        <family val="2"/>
        <scheme val="minor"/>
      </rPr>
      <t xml:space="preserve"> or renewable diesel, put those percentages in the next column.</t>
    </r>
  </si>
  <si>
    <t>GHG reporter name</t>
  </si>
  <si>
    <t>GHG reporter email</t>
  </si>
  <si>
    <t>GHG reporter phone number</t>
  </si>
  <si>
    <t>MMBtu/therm</t>
  </si>
  <si>
    <r>
      <rPr>
        <b/>
        <sz val="11"/>
        <color theme="1"/>
        <rFont val="Calibri"/>
        <family val="2"/>
        <scheme val="minor"/>
      </rPr>
      <t>Purchased</t>
    </r>
    <r>
      <rPr>
        <sz val="11"/>
        <color theme="1"/>
        <rFont val="Calibri"/>
        <family val="2"/>
        <scheme val="minor"/>
      </rPr>
      <t xml:space="preserve"> electricity from green contract (kWh)</t>
    </r>
  </si>
  <si>
    <t>Steam - Fossil Fuel</t>
  </si>
  <si>
    <t>Purchased electricity - WA avg mix</t>
  </si>
  <si>
    <t>Stationary Fossil Fuel Combustion</t>
  </si>
  <si>
    <t>Stationary Renewable Thermal Energy</t>
  </si>
  <si>
    <t>Purchased Electricity - Standard Utility Retail Electricity</t>
  </si>
  <si>
    <t>Fossil Fuel Consumption</t>
  </si>
  <si>
    <t>Thermal Energy Consumption</t>
  </si>
  <si>
    <t>Purchased electricity - WA State Avg Retail Mix 3yr avg</t>
  </si>
  <si>
    <t xml:space="preserve">Fuel </t>
  </si>
  <si>
    <t>Source: EPA 40 C.F.R Part 98 as adopted in WAC 173-441 https://app.leg.wa.gov/WAC/default.aspx?cite=173-441</t>
  </si>
  <si>
    <t>lb/MWh</t>
  </si>
  <si>
    <t>https://www.epa.gov/egrid/data-explorer</t>
  </si>
  <si>
    <t>lbs/MWh</t>
  </si>
  <si>
    <t xml:space="preserve"> kg/MWh</t>
  </si>
  <si>
    <t xml:space="preserve">Annual electricity purchases (kWh) </t>
  </si>
  <si>
    <r>
      <t xml:space="preserve">Section 4: Fossil GHG Emissions Summary - </t>
    </r>
    <r>
      <rPr>
        <b/>
        <sz val="12"/>
        <color theme="0"/>
        <rFont val="Calibri"/>
        <family val="2"/>
        <scheme val="minor"/>
      </rPr>
      <t>Excludes biogenic portion of biofuel combustion</t>
    </r>
  </si>
  <si>
    <t>Name of Agency Approver</t>
  </si>
  <si>
    <t>Purchased steam (fossil fuel)</t>
  </si>
  <si>
    <t>Steam</t>
  </si>
  <si>
    <t>(kg CO2/mmBtu)</t>
  </si>
  <si>
    <t>(MT CO2/therm)</t>
  </si>
  <si>
    <r>
      <t>CH</t>
    </r>
    <r>
      <rPr>
        <b/>
        <vertAlign val="subscript"/>
        <sz val="12"/>
        <rFont val="Calibri"/>
        <family val="2"/>
        <scheme val="minor"/>
      </rPr>
      <t>4</t>
    </r>
    <r>
      <rPr>
        <b/>
        <sz val="12"/>
        <rFont val="Calibri"/>
        <family val="2"/>
        <scheme val="minor"/>
      </rPr>
      <t xml:space="preserve"> emission factor</t>
    </r>
  </si>
  <si>
    <t xml:space="preserve"> (MT CH4/therm)</t>
  </si>
  <si>
    <r>
      <t>N</t>
    </r>
    <r>
      <rPr>
        <b/>
        <vertAlign val="subscript"/>
        <sz val="12"/>
        <rFont val="Calibri"/>
        <family val="2"/>
        <scheme val="minor"/>
      </rPr>
      <t>2</t>
    </r>
    <r>
      <rPr>
        <b/>
        <sz val="12"/>
        <rFont val="Calibri"/>
        <family val="2"/>
        <scheme val="minor"/>
      </rPr>
      <t>O emissions factor</t>
    </r>
  </si>
  <si>
    <t xml:space="preserve"> (kg N2O/mmBtu)</t>
  </si>
  <si>
    <t>(MT N2O/therm)</t>
  </si>
  <si>
    <t xml:space="preserve">High heat value </t>
  </si>
  <si>
    <t>(MT CO2/klb)</t>
  </si>
  <si>
    <t>(MT CH4/klb)</t>
  </si>
  <si>
    <t>(MT N2O/klb)</t>
  </si>
  <si>
    <t>Fuel Prices</t>
  </si>
  <si>
    <t xml:space="preserve">Gasoline </t>
  </si>
  <si>
    <t>Jet Fuel</t>
  </si>
  <si>
    <t>Purchased Steam (Million lbs - Mlbs) (enter your own value)</t>
  </si>
  <si>
    <t>Baseline annual emissions (before)</t>
  </si>
  <si>
    <t>New annual emissions level after project (after)</t>
  </si>
  <si>
    <t>Emissions avoided (cumulative)</t>
  </si>
  <si>
    <t>Gasoline (gallons per year)</t>
  </si>
  <si>
    <t>Diesel (gallons per year)</t>
  </si>
  <si>
    <t>Electricity (kWh per year)</t>
  </si>
  <si>
    <t>Natural Gas (Therms per year)</t>
  </si>
  <si>
    <t>Aviation Gasoline (gallons per year)</t>
  </si>
  <si>
    <t>Fuel Oil (Gallons per year)</t>
  </si>
  <si>
    <t>Jet Fuel (gallons per year)</t>
  </si>
  <si>
    <t>Propane (Gallons per year)</t>
  </si>
  <si>
    <t>Purchased Steam (Million lbs - Mlbs per year)</t>
  </si>
  <si>
    <t>Annual Emissions Before</t>
  </si>
  <si>
    <t>Annual Emissions After</t>
  </si>
  <si>
    <t>&lt;&lt;&lt; MTCO2e saved each year</t>
  </si>
  <si>
    <t>&lt;&lt;&lt; $ saved each year</t>
  </si>
  <si>
    <t>&lt;&lt;&lt; $ saved over 10 years</t>
  </si>
  <si>
    <t>&lt;&lt;&lt; MTCO2e saved (avoided) over 10 years</t>
  </si>
  <si>
    <t>$ Savings</t>
  </si>
  <si>
    <t>Baseline cost (before)</t>
  </si>
  <si>
    <t>New annual cost after project (after)</t>
  </si>
  <si>
    <t xml:space="preserve"> Annual CO2e Savings (avoided)</t>
  </si>
  <si>
    <t>Annual Cost Before ($/yr)</t>
  </si>
  <si>
    <t>Annual Cost After ($/yr)</t>
  </si>
  <si>
    <t xml:space="preserve"> Annual $ Savings (avoided)($/yr)</t>
  </si>
  <si>
    <r>
      <t xml:space="preserve">1. Enter the </t>
    </r>
    <r>
      <rPr>
        <b/>
        <sz val="11"/>
        <color theme="1"/>
        <rFont val="Calibri"/>
        <family val="2"/>
        <scheme val="minor"/>
      </rPr>
      <t>current annual quantity of fuel</t>
    </r>
    <r>
      <rPr>
        <sz val="11"/>
        <color theme="1"/>
        <rFont val="Calibri"/>
        <family val="2"/>
        <scheme val="minor"/>
      </rPr>
      <t xml:space="preserve"> used in the </t>
    </r>
    <r>
      <rPr>
        <sz val="11"/>
        <color theme="5" tint="-0.249977111117893"/>
        <rFont val="Calibri"/>
        <family val="2"/>
        <scheme val="minor"/>
      </rPr>
      <t>orange</t>
    </r>
    <r>
      <rPr>
        <sz val="11"/>
        <color theme="1"/>
        <rFont val="Calibri"/>
        <family val="2"/>
        <scheme val="minor"/>
      </rPr>
      <t xml:space="preserve"> cells in the </t>
    </r>
    <r>
      <rPr>
        <b/>
        <sz val="11"/>
        <color theme="1"/>
        <rFont val="Calibri"/>
        <family val="2"/>
        <scheme val="minor"/>
      </rPr>
      <t>before</t>
    </r>
    <r>
      <rPr>
        <sz val="11"/>
        <color theme="1"/>
        <rFont val="Calibri"/>
        <family val="2"/>
        <scheme val="minor"/>
      </rPr>
      <t xml:space="preserve"> column.</t>
    </r>
  </si>
  <si>
    <r>
      <t>2. Enter the f</t>
    </r>
    <r>
      <rPr>
        <b/>
        <sz val="11"/>
        <color theme="1"/>
        <rFont val="Calibri"/>
        <family val="2"/>
        <scheme val="minor"/>
      </rPr>
      <t>uture quantity of fuel</t>
    </r>
    <r>
      <rPr>
        <sz val="11"/>
        <color theme="1"/>
        <rFont val="Calibri"/>
        <family val="2"/>
        <scheme val="minor"/>
      </rPr>
      <t xml:space="preserve"> to be used (after project completion) in the </t>
    </r>
    <r>
      <rPr>
        <sz val="11"/>
        <color theme="5" tint="-0.249977111117893"/>
        <rFont val="Calibri"/>
        <family val="2"/>
        <scheme val="minor"/>
      </rPr>
      <t>orange</t>
    </r>
    <r>
      <rPr>
        <sz val="11"/>
        <color theme="1"/>
        <rFont val="Calibri"/>
        <family val="2"/>
        <scheme val="minor"/>
      </rPr>
      <t xml:space="preserve"> cells in the </t>
    </r>
    <r>
      <rPr>
        <b/>
        <sz val="11"/>
        <color theme="1"/>
        <rFont val="Calibri"/>
        <family val="2"/>
        <scheme val="minor"/>
      </rPr>
      <t>after</t>
    </r>
    <r>
      <rPr>
        <sz val="11"/>
        <color theme="1"/>
        <rFont val="Calibri"/>
        <family val="2"/>
        <scheme val="minor"/>
      </rPr>
      <t xml:space="preserve"> column. </t>
    </r>
  </si>
  <si>
    <t xml:space="preserve">4. For multiple projects, copy this tab as often as needed. </t>
  </si>
  <si>
    <t>CAUTION: This sheet is not protected so you can change it as needed. New copies can be found at Ecology's website.</t>
  </si>
  <si>
    <t xml:space="preserve">Electricity price  </t>
  </si>
  <si>
    <t>Natural Gas price</t>
  </si>
  <si>
    <t>Other Fuel Prices</t>
  </si>
  <si>
    <t>Aviation Gasoline</t>
  </si>
  <si>
    <t xml:space="preserve">Propane </t>
  </si>
  <si>
    <t>Emission and Cost Reduction Estimates (Optional)</t>
  </si>
  <si>
    <t>How to Use this Calculator</t>
  </si>
  <si>
    <t>Current Annual Fuel Use (Before)</t>
  </si>
  <si>
    <t>Future Annual Fuel Use (After)</t>
  </si>
  <si>
    <r>
      <t>MT CO</t>
    </r>
    <r>
      <rPr>
        <b/>
        <vertAlign val="subscript"/>
        <sz val="14"/>
        <color theme="1"/>
        <rFont val="Calibri"/>
        <family val="2"/>
        <scheme val="minor"/>
      </rPr>
      <t>2</t>
    </r>
    <r>
      <rPr>
        <b/>
        <sz val="14"/>
        <color theme="1"/>
        <rFont val="Calibri"/>
        <family val="2"/>
        <scheme val="minor"/>
      </rPr>
      <t>e</t>
    </r>
  </si>
  <si>
    <t>kBtu/kWh</t>
  </si>
  <si>
    <t>NOTE REGARDING ELECTRICITY EMISSIONS FORECAST:</t>
  </si>
  <si>
    <r>
      <t>As agencies plan future emission reduction projects, keep in mind that the electricity grid is moving toward carbon neutrality by 2030, making all-electric buildings and vehicles zero GHG emissions. The transformation away from fossil fuels requires that all energy be used as efficiently as possible and remaining energy use come from clean electricity and renewable fuels. This simple calculator</t>
    </r>
    <r>
      <rPr>
        <b/>
        <sz val="11"/>
        <color theme="1"/>
        <rFont val="Calibri"/>
        <family val="2"/>
        <scheme val="minor"/>
      </rPr>
      <t xml:space="preserve"> does not include a projection of declining future emissions from electricity</t>
    </r>
    <r>
      <rPr>
        <sz val="11"/>
        <color theme="1"/>
        <rFont val="Calibri"/>
        <family val="2"/>
        <scheme val="minor"/>
      </rPr>
      <t xml:space="preserve"> - it holds current emission levels steady into the future.  </t>
    </r>
  </si>
  <si>
    <t>Resources for state buildings can be found here:</t>
  </si>
  <si>
    <t xml:space="preserve">Enter information about fleet(s) and mobile equipment owned by the agency or leased from the state motor pool into yellow cells. </t>
  </si>
  <si>
    <t>Building Energy Use Emissions Details</t>
  </si>
  <si>
    <t>Fleet Energy Use Emissions Details</t>
  </si>
  <si>
    <t xml:space="preserve">Projected Emissions </t>
  </si>
  <si>
    <t>Projected Cost Savings</t>
  </si>
  <si>
    <t>Estimate Emission Reductions</t>
  </si>
  <si>
    <t>Average utility costs are pre-populated. You may replace it with your own utility data.</t>
  </si>
  <si>
    <t>Enter the year project will be installed &gt;&gt;&gt;</t>
  </si>
  <si>
    <t>Cost avoided (cumulative savings)</t>
  </si>
  <si>
    <t>MTCO2e</t>
  </si>
  <si>
    <t>passenger vehicles driven for one year</t>
  </si>
  <si>
    <t>acres of U.S. forest sequestration in one year</t>
  </si>
  <si>
    <t>Emission Equivalencies</t>
  </si>
  <si>
    <t>Your project reduced the equivalent amount as:</t>
  </si>
  <si>
    <r>
      <t>This tab provides a variety of simple tools for quickly estimating GHG reduction and cost savings for mitigation projects.</t>
    </r>
    <r>
      <rPr>
        <b/>
        <sz val="11"/>
        <rFont val="Calibri"/>
        <family val="2"/>
        <scheme val="minor"/>
      </rPr>
      <t xml:space="preserve"> This tab is available for your agency's internal use and is not required for reporting.</t>
    </r>
  </si>
  <si>
    <t>Enter information about stationary fuel sources (including natural gas, fuel oil and other fuels) and purchased electricity and steam into yellow cells.  Include all electricity purchased, including electricity purchased from green contracts.  Data should align with Energy Star Portfolio Manager.</t>
  </si>
  <si>
    <t xml:space="preserve">Electricity Consumption </t>
  </si>
  <si>
    <t>Notes</t>
  </si>
  <si>
    <t>Specify renewable electricity resources here (solar PV, wind, etc.) If kwh production data is not available, please report system design size, estimated energy output and/or energy savings here. &gt;&gt;&gt;</t>
  </si>
  <si>
    <r>
      <t xml:space="preserve">Renewable thermal space conditioning </t>
    </r>
    <r>
      <rPr>
        <sz val="9"/>
        <color theme="1"/>
        <rFont val="Calibri"/>
        <family val="2"/>
        <scheme val="minor"/>
      </rPr>
      <t>(examples: geothermal/ground source heat pumps, solar hot water, renewable gas such as biogas or landfill gas, or biomass.)</t>
    </r>
    <r>
      <rPr>
        <sz val="11"/>
        <color theme="1"/>
        <rFont val="Calibri"/>
        <family val="2"/>
        <scheme val="minor"/>
      </rPr>
      <t xml:space="preserve"> (kBtu, or specify other units)</t>
    </r>
  </si>
  <si>
    <t xml:space="preserve">Specify renewable thermal resource type here (geothermal, biomass, solar thermal, Etc.) If kBtu production data is not available, please report system design size, projected energy savings or other performance info here. &gt;&gt;&gt; </t>
  </si>
  <si>
    <t>Biofuel (%)</t>
  </si>
  <si>
    <r>
      <t>If your agency consumes fuel for</t>
    </r>
    <r>
      <rPr>
        <b/>
        <sz val="11"/>
        <color theme="1"/>
        <rFont val="Calibri"/>
        <family val="2"/>
        <scheme val="minor"/>
      </rPr>
      <t xml:space="preserve"> landscape equipment, off-road vehicles, construction vehicles and equipment, agricultural or other uses not reported elsewhere</t>
    </r>
    <r>
      <rPr>
        <sz val="11"/>
        <color theme="1"/>
        <rFont val="Calibri"/>
        <family val="2"/>
        <scheme val="minor"/>
      </rPr>
      <t xml:space="preserve">, </t>
    </r>
    <r>
      <rPr>
        <b/>
        <sz val="11"/>
        <color theme="1"/>
        <rFont val="Calibri"/>
        <family val="2"/>
        <scheme val="minor"/>
      </rPr>
      <t xml:space="preserve">provide </t>
    </r>
    <r>
      <rPr>
        <b/>
        <u/>
        <sz val="11"/>
        <color theme="1"/>
        <rFont val="Calibri"/>
        <family val="2"/>
        <scheme val="minor"/>
      </rPr>
      <t>fuel quantities</t>
    </r>
    <r>
      <rPr>
        <b/>
        <sz val="11"/>
        <color theme="1"/>
        <rFont val="Calibri"/>
        <family val="2"/>
        <scheme val="minor"/>
      </rPr>
      <t xml:space="preserve"> and </t>
    </r>
    <r>
      <rPr>
        <b/>
        <u/>
        <sz val="11"/>
        <color theme="1"/>
        <rFont val="Calibri"/>
        <family val="2"/>
        <scheme val="minor"/>
      </rPr>
      <t>fuel type</t>
    </r>
    <r>
      <rPr>
        <b/>
        <sz val="11"/>
        <color theme="1"/>
        <rFont val="Calibri"/>
        <family val="2"/>
        <scheme val="minor"/>
      </rPr>
      <t xml:space="preserve"> for </t>
    </r>
    <r>
      <rPr>
        <b/>
        <u/>
        <sz val="11"/>
        <color theme="1"/>
        <rFont val="Calibri"/>
        <family val="2"/>
        <scheme val="minor"/>
      </rPr>
      <t>each vehicle/equipment category</t>
    </r>
    <r>
      <rPr>
        <b/>
        <sz val="11"/>
        <color theme="1"/>
        <rFont val="Calibri"/>
        <family val="2"/>
        <scheme val="minor"/>
      </rPr>
      <t xml:space="preserve"> in the comment box below</t>
    </r>
    <r>
      <rPr>
        <sz val="11"/>
        <color theme="1"/>
        <rFont val="Calibri"/>
        <family val="2"/>
        <scheme val="minor"/>
      </rPr>
      <t>. Note this data will not be included in agency-level reports but may be aggregated for a statewide estimate.</t>
    </r>
  </si>
  <si>
    <t>Share of sector CO2e</t>
  </si>
  <si>
    <t>Share of bldgs CO2e</t>
  </si>
  <si>
    <t>Stationary combustion (all buildings)</t>
  </si>
  <si>
    <t>Electricity (all buildings)</t>
  </si>
  <si>
    <t>Fuel qty w/o biofuel</t>
  </si>
  <si>
    <t>share of fleet fossil CO2e</t>
  </si>
  <si>
    <t>City of Centralia - (WA)</t>
  </si>
  <si>
    <t>City of Ellensburg - (WA)</t>
  </si>
  <si>
    <t>City of Port Angeles - (WA)</t>
  </si>
  <si>
    <t>City of Richland - (WA)</t>
  </si>
  <si>
    <t>City of Seattle - (WA)</t>
  </si>
  <si>
    <t>City of Tacoma - (WA)</t>
  </si>
  <si>
    <t>PUD No 1 of Clark County - (WA)</t>
  </si>
  <si>
    <t>Tesla Inc.</t>
  </si>
  <si>
    <r>
      <rPr>
        <b/>
        <sz val="14"/>
        <color theme="1"/>
        <rFont val="Calibri"/>
        <family val="2"/>
        <scheme val="minor"/>
      </rPr>
      <t>Conditioned Space Details -</t>
    </r>
    <r>
      <rPr>
        <b/>
        <sz val="11"/>
        <color theme="1"/>
        <rFont val="Calibri"/>
        <family val="2"/>
        <scheme val="minor"/>
      </rPr>
      <t xml:space="preserve"> </t>
    </r>
    <r>
      <rPr>
        <sz val="11"/>
        <color theme="1"/>
        <rFont val="Calibri"/>
        <family val="2"/>
        <scheme val="minor"/>
      </rPr>
      <t>heated or cooled using electricity, natural gas, or other forms of energy</t>
    </r>
  </si>
  <si>
    <t>Electricity Quantity</t>
  </si>
  <si>
    <t>2021 lb/MWh</t>
  </si>
  <si>
    <t>Natural gas (per scf)</t>
  </si>
  <si>
    <t>Gasoline (w/o ethanol)</t>
  </si>
  <si>
    <t>MT reductions needed to meet 2040 limit (MT)</t>
  </si>
  <si>
    <t>MT reductions needed to meet 2050 limit (MT)</t>
  </si>
  <si>
    <t>Department of Corrections</t>
  </si>
  <si>
    <t>Department of Social and Health Services</t>
  </si>
  <si>
    <t>Washington State Patrol</t>
  </si>
  <si>
    <t>Department of Enterprise Services</t>
  </si>
  <si>
    <t>Central Washington University</t>
  </si>
  <si>
    <t>Eastern Washington University</t>
  </si>
  <si>
    <t>Department of Fish and Wildlife</t>
  </si>
  <si>
    <t xml:space="preserve">       12,957 </t>
  </si>
  <si>
    <t xml:space="preserve">       12,912 </t>
  </si>
  <si>
    <t xml:space="preserve">          8,969 </t>
  </si>
  <si>
    <t>Department of Natural Resources</t>
  </si>
  <si>
    <t>Spokane Community College</t>
  </si>
  <si>
    <t>Evergreen State College</t>
  </si>
  <si>
    <t>Seattle Community College</t>
  </si>
  <si>
    <t>State Parks and Recreation Commission</t>
  </si>
  <si>
    <t>Department of Health</t>
  </si>
  <si>
    <t>Labor and Industries</t>
  </si>
  <si>
    <t>Department of Veteran Affairs</t>
  </si>
  <si>
    <t>Liquor and Cannabis Board</t>
  </si>
  <si>
    <t>Department of Ecology</t>
  </si>
  <si>
    <t>Department of Agriculture</t>
  </si>
  <si>
    <t>Department of Commerce</t>
  </si>
  <si>
    <t>MT reductions needed to meet 2030 limit (MT)</t>
  </si>
  <si>
    <t>2020 Limit: 15% below 2005</t>
  </si>
  <si>
    <t>2030 limit: 45% below 2005</t>
  </si>
  <si>
    <t>2040 limit: 70% below 2005</t>
  </si>
  <si>
    <t>2050 limit: 95% below 2005</t>
  </si>
  <si>
    <t>Renewable Electricity Production (Agency-owned or on-site, with RECs included)</t>
  </si>
  <si>
    <r>
      <t>Electricity generated from solar photovoltaics, wind turbine, microhydro or other</t>
    </r>
    <r>
      <rPr>
        <sz val="11"/>
        <color rgb="FFFF0000"/>
        <rFont val="Calibri"/>
        <family val="2"/>
        <scheme val="minor"/>
      </rPr>
      <t xml:space="preserve"> </t>
    </r>
    <r>
      <rPr>
        <sz val="11"/>
        <color theme="1"/>
        <rFont val="Calibri"/>
        <family val="2"/>
        <scheme val="minor"/>
      </rPr>
      <t>renewable power sources (kWh) See comment for definition. RECs must not be sold.</t>
    </r>
  </si>
  <si>
    <r>
      <t>See this note regarding</t>
    </r>
    <r>
      <rPr>
        <b/>
        <sz val="9"/>
        <color theme="1"/>
        <rFont val="Calibri"/>
        <family val="2"/>
        <scheme val="minor"/>
      </rPr>
      <t xml:space="preserve"> net metering and RECs</t>
    </r>
  </si>
  <si>
    <t>share of bldg. ownership</t>
  </si>
  <si>
    <t>https://www.epa.gov/energy/greenhouse-gases-equivalencies-calculator-calculations-and-references#pineforests</t>
  </si>
  <si>
    <t>https://www.epa.gov/energy/greenhouse-gases-equivalencies-calculator-calculations-and-references#vehicles</t>
  </si>
  <si>
    <t>Avg US passenger vehicle driven for 1 year</t>
  </si>
  <si>
    <t>Ideally, the project would add new reductions over a period of time and then end, and either diminish or hold steady from that time forward. This calculator does not include the capacity to model that.</t>
  </si>
  <si>
    <t>(kg CO2/kWh) (=MTCO2e/MWH)</t>
  </si>
  <si>
    <t>2023 WA state avg commercial price</t>
  </si>
  <si>
    <t>Department of Children, Youth and Families</t>
  </si>
  <si>
    <t>Approver Email</t>
  </si>
  <si>
    <t>Units: MT CO2e</t>
  </si>
  <si>
    <t>•   15% below 2005 levels by 2020</t>
  </si>
  <si>
    <t>•   45% below 2005 levels by 2030</t>
  </si>
  <si>
    <t>•   70% below 2005 levels by 2040</t>
  </si>
  <si>
    <t xml:space="preserve">•   95% below 2005 levels by 2050, achieve net zero </t>
  </si>
  <si>
    <t>2023 MTCO2 relative to 2020 limit</t>
  </si>
  <si>
    <t>2023 % over 2030 limit</t>
  </si>
  <si>
    <t>eGRID NWPP 2023</t>
  </si>
  <si>
    <t>2023 lb/MWh</t>
  </si>
  <si>
    <t>2022 lb/MWh</t>
  </si>
  <si>
    <t>3-year average</t>
  </si>
  <si>
    <t>2023 All customers Avg retail price ($/kwh)</t>
  </si>
  <si>
    <t>2023 Commercial sector avg retail price ($/kwh)</t>
  </si>
  <si>
    <t>City of Blaine - (WA)</t>
  </si>
  <si>
    <t>City of Cheney - (WA)</t>
  </si>
  <si>
    <t>City of Chewelah - (WA)</t>
  </si>
  <si>
    <t>City of Coulee Dam - (WA)</t>
  </si>
  <si>
    <t>City of McCleary - (WA)</t>
  </si>
  <si>
    <t>City of Milton - (WA)</t>
  </si>
  <si>
    <t>City of Sumas - (WA)</t>
  </si>
  <si>
    <t>Clearwater Power Company</t>
  </si>
  <si>
    <t>Nespelem Valley Elec Coop, Inc</t>
  </si>
  <si>
    <t>Ohop Mutal Light Company, Inc</t>
  </si>
  <si>
    <t>Okanogan County Elec Coop, Inc</t>
  </si>
  <si>
    <t>Yakama Power</t>
  </si>
  <si>
    <t>PUD No 1 of Asotin County</t>
  </si>
  <si>
    <t>PUD No 1 of Ferry County</t>
  </si>
  <si>
    <t>PUD No 1 of Kittitas County</t>
  </si>
  <si>
    <t>PUD No 1 of Mason County</t>
  </si>
  <si>
    <t>PUD No 1 of Skamania County</t>
  </si>
  <si>
    <t>PUD No 1 of Snohomish County</t>
  </si>
  <si>
    <t>PUD No 1 Wahkiakum County</t>
  </si>
  <si>
    <t>Parkland Light &amp; Water Company</t>
  </si>
  <si>
    <t>Sunnova</t>
  </si>
  <si>
    <t>Tanner Electric Coop</t>
  </si>
  <si>
    <t>Town of Eatonville - (WA)</t>
  </si>
  <si>
    <t>Town of Ruston - (WA)</t>
  </si>
  <si>
    <t>Town of Steilacoom</t>
  </si>
  <si>
    <t>$/MCF</t>
  </si>
  <si>
    <t>Agency</t>
  </si>
  <si>
    <t>BIO-DIESEL</t>
  </si>
  <si>
    <t>DIESEL</t>
  </si>
  <si>
    <t>UNLEADED</t>
  </si>
  <si>
    <t>Total Gallons</t>
  </si>
  <si>
    <t>ADMINISTRATIVE OFFICE OF THE COURTS</t>
  </si>
  <si>
    <t>AGRICULTURE</t>
  </si>
  <si>
    <t>ARTS COMMISSION</t>
  </si>
  <si>
    <t>ATTORNEY GENERAL</t>
  </si>
  <si>
    <t>BATES TECHNICAL COLLEGE</t>
  </si>
  <si>
    <t>CENTER FOR DEAF &amp; HARD OF HEARING YOUTH</t>
  </si>
  <si>
    <t>CENTRAL WASHINGTON UNIVERSITY</t>
  </si>
  <si>
    <t>CENTRALIA COLLEGE</t>
  </si>
  <si>
    <t>CLARK COLLEGE</t>
  </si>
  <si>
    <t>CLOVER PARK TECHNICAL COLLEGE</t>
  </si>
  <si>
    <t>COLUMBIA RIVER GORGE COMMISSION</t>
  </si>
  <si>
    <t>COMMERCE</t>
  </si>
  <si>
    <t>CONSERVATION COMMISSION</t>
  </si>
  <si>
    <t>COUNTY ROAD ADMINISTRATION BOARD</t>
  </si>
  <si>
    <t>DAIRY PRODUCTS COMMISSION</t>
  </si>
  <si>
    <t>DEPARTMENT OF ARCHAEOLOGY AND HISTORIC PRESERVATION</t>
  </si>
  <si>
    <t>DEPARTMENT OF CHILDREN YOUTH AND FAMILIES</t>
  </si>
  <si>
    <t>DEPARTMENT OF CORRECTIONS</t>
  </si>
  <si>
    <t>DEPARTMENT OF ENTERPRISE SERVICES</t>
  </si>
  <si>
    <t>DEPARTMENT OF FISH AND WILDLIFE</t>
  </si>
  <si>
    <t>DEPARTMENT OF HEALTH</t>
  </si>
  <si>
    <t>DEPARTMENT OF LICENSING</t>
  </si>
  <si>
    <t>DEPARTMENT OF NATURAL RESOURCES</t>
  </si>
  <si>
    <t>DEPARTMENT OF RETIREMENT SYSTEMS</t>
  </si>
  <si>
    <t>DEPARTMENT OF REVENUE</t>
  </si>
  <si>
    <t>DEPARTMENT OF SERVICES FOR THE BLIND</t>
  </si>
  <si>
    <t>DEPARTMENT OF SOCIAL AND HEALTH SERVICES</t>
  </si>
  <si>
    <t>DEPARTMENT OF VETERANS AFFAIRS</t>
  </si>
  <si>
    <t>EASTERN WASHINGTON UNIVERSITY</t>
  </si>
  <si>
    <t>ECOLOGY</t>
  </si>
  <si>
    <t>EDMONDS COMMUNITY COLLEGE</t>
  </si>
  <si>
    <t>EMPLOYMENT SECURITY</t>
  </si>
  <si>
    <t>ENERGY FACILITY SITE EVALUATION COUNCIL</t>
  </si>
  <si>
    <t>ENTERPRISE SERVICES - TRIP</t>
  </si>
  <si>
    <t>EVERETT COMMUNITY COLLEGE</t>
  </si>
  <si>
    <t>GRAYS HARBOR COLLEGE</t>
  </si>
  <si>
    <t>GREEN RIVER COLLEGE</t>
  </si>
  <si>
    <t>HEALTH CARE AUTHORITY</t>
  </si>
  <si>
    <t>HIGHLINE COLLEGE</t>
  </si>
  <si>
    <t>HISTORICAL SOCIETY</t>
  </si>
  <si>
    <t>LABOR AND INDUSTRIES</t>
  </si>
  <si>
    <t>LAKE WASHINGTON INSTITUTE OF TECHNOLOGY</t>
  </si>
  <si>
    <t>LIQUOR AND CANNABIS BOARD</t>
  </si>
  <si>
    <t>LOTTERY COMMISSION</t>
  </si>
  <si>
    <t>MILITARY DEPARTMENT</t>
  </si>
  <si>
    <t>OFFICE OF FINANCIAL MANAGEMENT</t>
  </si>
  <si>
    <t>OFFICE OF INDEPENDENT INVESTIGATIONS</t>
  </si>
  <si>
    <t>OFFICE OF LEGISLATIVE SUPPORT SERVICES</t>
  </si>
  <si>
    <t>OFFICE OF THE SECRETARY OF STATE</t>
  </si>
  <si>
    <t>OFFICE OF THE STATE AUDITOR</t>
  </si>
  <si>
    <t>OLYMPIC COLLEGE</t>
  </si>
  <si>
    <t>PUBLIC EMPLOYMENT RELATIONS COMMISSION</t>
  </si>
  <si>
    <t>PUGET SOUND PARTNERSHIP</t>
  </si>
  <si>
    <t>RECREATION &amp; CONSERVATION FUNDING BOARD</t>
  </si>
  <si>
    <t>SCHOOL FOR THE BLIND</t>
  </si>
  <si>
    <t>SEATTLE COMMUNITY COLLEGE - DIST6</t>
  </si>
  <si>
    <t>SHORELINE COMMUNITY COLLEGE</t>
  </si>
  <si>
    <t>SOUTH PUGET SOUND COMMUNITY COLLEGE</t>
  </si>
  <si>
    <t>STATE PARKS AND RECREATION COMMISSION</t>
  </si>
  <si>
    <t>SUPERINTENDANT OF PUBLIC INSTRUCTION</t>
  </si>
  <si>
    <t>SUPREME COURT</t>
  </si>
  <si>
    <t>THE EVERGREEN STATE COLLEGE</t>
  </si>
  <si>
    <t>TRANSPORTATION IMPROVEMENT BOARD</t>
  </si>
  <si>
    <t>UNIVERSITY OF WASHINGTON</t>
  </si>
  <si>
    <t>UTILITIES AND TRANSPORTATION COMMISSION</t>
  </si>
  <si>
    <t>WA TECH (CTS)</t>
  </si>
  <si>
    <t>WASHINGTON STATE UNIVERSITY</t>
  </si>
  <si>
    <t>WESTERN WASHINGTON UNIVERSITY</t>
  </si>
  <si>
    <t>Agency Fuel Use for 2024</t>
  </si>
  <si>
    <t>•    Enter data in yellow fields in the "Report" tab. Refer to the "Agency Fuel Use" tab for fuel use data.</t>
  </si>
  <si>
    <t>LNI</t>
  </si>
  <si>
    <t>Office of the Governor</t>
  </si>
  <si>
    <t>GOV</t>
  </si>
  <si>
    <t>SCCD-6</t>
  </si>
  <si>
    <t>SCCD-17</t>
  </si>
  <si>
    <t>Department of Children Youth and Families</t>
  </si>
  <si>
    <t>DCYF</t>
  </si>
  <si>
    <t>Department of Transportation</t>
  </si>
  <si>
    <t>cprsage@ecy.wa.gov</t>
  </si>
  <si>
    <t>This GHG emissions calculator is due to Department of Ecology by May 30, 2025</t>
  </si>
  <si>
    <t>In 2020, the Legislature and Governor updated the state agency emission limits, recodified in RCW 70A.45.050. The emissions reporting program is a critical part of Washington State’s efforts to meet the greenhouse gas emissions limits for state agencies:</t>
  </si>
  <si>
    <t>•   Report estimated greenhouse gas emissions from agency operations annually to the Department of Ecology by completing and submitting this calculator</t>
  </si>
  <si>
    <t>Resource Links:</t>
  </si>
  <si>
    <r>
      <t xml:space="preserve">NOTE: The "Emission Reduction Estimates" tab of this spreadsheet is a simple tool for roughly estimating GHG and cost savings from mitigation projects. This tab is available for your agency's internal use and is </t>
    </r>
    <r>
      <rPr>
        <u/>
        <sz val="12"/>
        <color theme="1"/>
        <rFont val="Calibri"/>
        <family val="2"/>
        <scheme val="minor"/>
      </rPr>
      <t>not required for reporting</t>
    </r>
    <r>
      <rPr>
        <sz val="12"/>
        <color theme="1"/>
        <rFont val="Calibri"/>
        <family val="2"/>
        <scheme val="minor"/>
      </rPr>
      <t>.</t>
    </r>
  </si>
  <si>
    <t>Department of Ecology's State Agency Greenhouse Gas Reporting webpage</t>
  </si>
  <si>
    <t>State agency reporting requirements:</t>
  </si>
  <si>
    <t>Department of Commerce's State Efficiency and Environmental Performance (SEEP) webpage</t>
  </si>
  <si>
    <t>Reducing Greenhouse Gas Emissions in Washington State (seventh biennial report)</t>
  </si>
  <si>
    <t>•    Reference the reporting instructions document for additional information, including how to submit this emissions calculator</t>
  </si>
  <si>
    <t>Department of Enterprise Services's Facilities and Leasing Management - Energy Program webpage</t>
  </si>
  <si>
    <t>Updated the biofuels percentage for diesel at WSDOT fueling stations (2024)</t>
  </si>
  <si>
    <t>Agency Fuel Use</t>
  </si>
  <si>
    <t>Added reported emissions from 2023</t>
  </si>
  <si>
    <r>
      <rPr>
        <i/>
        <sz val="11"/>
        <color theme="1"/>
        <rFont val="Calibri"/>
        <family val="2"/>
        <scheme val="minor"/>
      </rPr>
      <t xml:space="preserve">NEW </t>
    </r>
    <r>
      <rPr>
        <sz val="11"/>
        <color theme="1"/>
        <rFont val="Calibri"/>
        <family val="2"/>
        <scheme val="minor"/>
      </rPr>
      <t xml:space="preserve">tab </t>
    </r>
  </si>
  <si>
    <t>No changes to calculations</t>
  </si>
  <si>
    <t>Prices as of Date</t>
  </si>
  <si>
    <t>Heating Oil</t>
  </si>
  <si>
    <t>Updated electricity and fossil fuel prices</t>
  </si>
  <si>
    <t>Updated reported emissions relative to future emission limits</t>
  </si>
  <si>
    <t>Enter agency data for calendar year 2024 in the yellow fields below.</t>
  </si>
  <si>
    <t>2025 reporting of calendar year 2024 data is due by May 30, 2025.</t>
  </si>
  <si>
    <t xml:space="preserve">Include additional description of facilities or changes from previous report: &gt;&gt;&gt;
Did your agency increase/decrease square footage of space from last year? 
If so, by how much?
  </t>
  </si>
  <si>
    <t xml:space="preserve">
</t>
  </si>
  <si>
    <t xml:space="preserve">
</t>
  </si>
  <si>
    <r>
      <t xml:space="preserve">•    Once you have entered your agency's information into the calculator, save your spreadsheet using this naming convention: 2024_[agency acronym]_GHG.xlsx </t>
    </r>
    <r>
      <rPr>
        <i/>
        <sz val="12"/>
        <color theme="1"/>
        <rFont val="Calibri"/>
        <family val="2"/>
        <scheme val="minor"/>
      </rPr>
      <t xml:space="preserve">(example: 2024_ECY_GHG.xlsx) </t>
    </r>
  </si>
  <si>
    <t xml:space="preserve">Please describe changes or updates in this box from your previous emissions report, if any.
</t>
  </si>
  <si>
    <t>Energy Star Portfolio Manager</t>
  </si>
  <si>
    <t>Updated the WA State Avg Retail Mix 3-year average</t>
  </si>
  <si>
    <t>Report</t>
  </si>
  <si>
    <t>Reference</t>
  </si>
  <si>
    <t>Emission Reduction Estimates</t>
  </si>
  <si>
    <t>Historic Data and Limits</t>
  </si>
  <si>
    <t>MT C</t>
  </si>
  <si>
    <t xml:space="preserve">2025 Calculator Updates </t>
  </si>
  <si>
    <t>Updated electricity emission factors and prices</t>
  </si>
  <si>
    <t>State daily avg on 3/3/2025</t>
  </si>
  <si>
    <t>Aircraft fuel prices at U.S. airports and FBOs; Northwest Mountain Region on 3/3/2025</t>
  </si>
  <si>
    <t>US average, residential heating oil, 2/24/2025</t>
  </si>
  <si>
    <t>US average, residential propane, 2/24/2025</t>
  </si>
  <si>
    <t>JetA</t>
  </si>
  <si>
    <t>100LL</t>
  </si>
  <si>
    <t>Sustainable Aviation  Fuel</t>
  </si>
  <si>
    <t>U.S. EIA Gasoline and Diesel Fuel Update</t>
  </si>
  <si>
    <t>AAA Fuel Prices: WA</t>
  </si>
  <si>
    <t>Global Air: Aircraft Fuel Prices at U.S. Airports &amp; FBOs</t>
  </si>
  <si>
    <t>U.S. EIA Heating Oil and Propane Update</t>
  </si>
  <si>
    <t>U.S. EIA Natural Gas Prices</t>
  </si>
  <si>
    <t>https://des.wa.gov/services/facilities-leasing/energy-program/</t>
  </si>
  <si>
    <t>Revised N2O calculations for fleet energy emissions (biogenic fuel)</t>
  </si>
  <si>
    <t>Revised CH4 and N2O emission factor conversions for electricity</t>
  </si>
  <si>
    <t>Carbon sequestered per acre per year for avg US forest</t>
  </si>
  <si>
    <t>Updated emission equivalencies</t>
  </si>
  <si>
    <t>State Agency Greenhouse Gas Emissions Reporting Instructions</t>
  </si>
  <si>
    <t xml:space="preserve">This calculator is used to determine your agency's annual GHG emissions from building energy use and fleet energy use (vehicles and mobile equipment). The information is gathered annually from state agencies and reported biennially to legislature. </t>
  </si>
  <si>
    <t>•   Report greenhosue gas emission reduction strategy to the Department of Commerce's State Efficiency and Environmental Performance (SEEP) Office via the web-form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</si>
</sst>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0.00000"/>
    <numFmt numFmtId="165" formatCode="0.0000"/>
    <numFmt numFmtId="166" formatCode="0.000"/>
    <numFmt numFmtId="167" formatCode="0.000000"/>
    <numFmt numFmtId="168" formatCode="#,##0.0"/>
    <numFmt numFmtId="169" formatCode="_(* #,##0.0_);_(* \(#,##0.0\);_(* &quot;-&quot;??_);_(@_)"/>
    <numFmt numFmtId="170" formatCode="_(* #,##0_);_(* \(#,##0\);_(* &quot;-&quot;??_);_(@_)"/>
    <numFmt numFmtId="171" formatCode="_(* #,##0.000_);_(* \(#,##0.000\);_(* &quot;-&quot;??_);_(@_)"/>
    <numFmt numFmtId="172" formatCode="0.0"/>
    <numFmt numFmtId="173" formatCode="0.00000000"/>
    <numFmt numFmtId="174" formatCode="_(&quot;$&quot;* #,##0.000_);_(&quot;$&quot;* \(#,##0.000\);_(&quot;$&quot;* &quot;-&quot;??_);_(@_)"/>
    <numFmt numFmtId="175" formatCode="_(&quot;$&quot;* #,##0_);_(&quot;$&quot;* \(#,##0\);_(&quot;$&quot;* &quot;-&quot;??_);_(@_)"/>
    <numFmt numFmtId="176" formatCode="0.0%"/>
    <numFmt numFmtId="177" formatCode="#,###.000"/>
    <numFmt numFmtId="178" formatCode="_(* #,##0.0000_);_(* \(#,##0.0000\);_(* &quot;-&quot;??_);_(@_)"/>
    <numFmt numFmtId="179" formatCode="_(* #,##0.000_);_(* \(#,##0.000\);_(* &quot;-&quot;???_);_(@_)"/>
    <numFmt numFmtId="180" formatCode="_(&quot;$&quot;* #,##0.000_);_(&quot;$&quot;* \(#,##0.000\);_(&quot;$&quot;* &quot;-&quot;???_);_(@_)"/>
    <numFmt numFmtId="181" formatCode="0000"/>
  </numFmts>
  <fonts count="5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name val="Times New Roman"/>
      <family val="1"/>
    </font>
    <font>
      <u/>
      <sz val="11"/>
      <color theme="10"/>
      <name val="Calibri"/>
      <family val="2"/>
    </font>
    <font>
      <b/>
      <sz val="9"/>
      <color indexed="81"/>
      <name val="Tahoma"/>
      <family val="2"/>
    </font>
    <font>
      <sz val="9"/>
      <color indexed="81"/>
      <name val="Tahoma"/>
      <family val="2"/>
    </font>
    <font>
      <sz val="10"/>
      <color rgb="FF000000"/>
      <name val="Arial"/>
      <family val="2"/>
    </font>
    <font>
      <sz val="9"/>
      <color rgb="FF000000"/>
      <name val="Tahoma"/>
      <family val="2"/>
    </font>
    <font>
      <sz val="12"/>
      <color theme="1"/>
      <name val="Calibri"/>
      <family val="2"/>
      <scheme val="minor"/>
    </font>
    <font>
      <sz val="12"/>
      <color rgb="FFFF0000"/>
      <name val="Calibri"/>
      <family val="2"/>
      <scheme val="minor"/>
    </font>
    <font>
      <b/>
      <sz val="12"/>
      <color theme="1"/>
      <name val="Calibri"/>
      <family val="2"/>
      <scheme val="minor"/>
    </font>
    <font>
      <b/>
      <sz val="18"/>
      <color theme="1"/>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sz val="9"/>
      <color rgb="FF000000"/>
      <name val="Calibri"/>
      <family val="2"/>
      <scheme val="minor"/>
    </font>
    <font>
      <b/>
      <sz val="12"/>
      <name val="Calibri"/>
      <family val="2"/>
      <scheme val="minor"/>
    </font>
    <font>
      <b/>
      <vertAlign val="subscript"/>
      <sz val="12"/>
      <name val="Calibri"/>
      <family val="2"/>
      <scheme val="minor"/>
    </font>
    <font>
      <sz val="12"/>
      <name val="Calibri"/>
      <family val="2"/>
      <scheme val="minor"/>
    </font>
    <font>
      <b/>
      <vertAlign val="subscript"/>
      <sz val="12"/>
      <color rgb="FF000000"/>
      <name val="Calibri"/>
      <family val="2"/>
      <scheme val="minor"/>
    </font>
    <font>
      <vertAlign val="subscript"/>
      <sz val="12"/>
      <color rgb="FF000000"/>
      <name val="Calibri"/>
      <family val="2"/>
      <scheme val="minor"/>
    </font>
    <font>
      <sz val="9"/>
      <name val="Calibri"/>
      <family val="2"/>
      <scheme val="minor"/>
    </font>
    <font>
      <b/>
      <sz val="11"/>
      <name val="Calibri"/>
      <family val="2"/>
      <scheme val="minor"/>
    </font>
    <font>
      <sz val="11"/>
      <name val="Calibri"/>
      <family val="2"/>
      <scheme val="minor"/>
    </font>
    <font>
      <b/>
      <sz val="14"/>
      <color theme="1"/>
      <name val="Calibri"/>
      <family val="2"/>
      <scheme val="minor"/>
    </font>
    <font>
      <b/>
      <sz val="16"/>
      <color theme="1"/>
      <name val="Calibri"/>
      <family val="2"/>
      <scheme val="minor"/>
    </font>
    <font>
      <b/>
      <vertAlign val="subscript"/>
      <sz val="11"/>
      <color theme="1"/>
      <name val="Calibri"/>
      <family val="2"/>
      <scheme val="minor"/>
    </font>
    <font>
      <b/>
      <sz val="18"/>
      <name val="Calibri"/>
      <family val="2"/>
      <scheme val="minor"/>
    </font>
    <font>
      <b/>
      <sz val="14"/>
      <color rgb="FF000000"/>
      <name val="Calibri"/>
      <family val="2"/>
      <scheme val="minor"/>
    </font>
    <font>
      <b/>
      <sz val="16"/>
      <color rgb="FF000000"/>
      <name val="Calibri"/>
      <family val="2"/>
      <scheme val="minor"/>
    </font>
    <font>
      <b/>
      <i/>
      <sz val="11"/>
      <color theme="1"/>
      <name val="Calibri"/>
      <family val="2"/>
      <scheme val="minor"/>
    </font>
    <font>
      <b/>
      <sz val="16"/>
      <color rgb="FFFF0000"/>
      <name val="Calibri"/>
      <family val="2"/>
      <scheme val="minor"/>
    </font>
    <font>
      <sz val="11"/>
      <color theme="5" tint="-0.249977111117893"/>
      <name val="Calibri"/>
      <family val="2"/>
      <scheme val="minor"/>
    </font>
    <font>
      <sz val="9"/>
      <color theme="1"/>
      <name val="Calibri"/>
      <family val="2"/>
      <scheme val="minor"/>
    </font>
    <font>
      <b/>
      <u/>
      <sz val="11"/>
      <color theme="1"/>
      <name val="Calibri"/>
      <family val="2"/>
      <scheme val="minor"/>
    </font>
    <font>
      <b/>
      <sz val="11"/>
      <color rgb="FFFF0000"/>
      <name val="Calibri"/>
      <family val="2"/>
      <scheme val="minor"/>
    </font>
    <font>
      <b/>
      <sz val="16"/>
      <color theme="0"/>
      <name val="Calibri"/>
      <family val="2"/>
      <scheme val="minor"/>
    </font>
    <font>
      <b/>
      <sz val="12"/>
      <color theme="0"/>
      <name val="Calibri"/>
      <family val="2"/>
      <scheme val="minor"/>
    </font>
    <font>
      <b/>
      <sz val="14"/>
      <name val="Calibri"/>
      <family val="2"/>
      <scheme val="minor"/>
    </font>
    <font>
      <b/>
      <vertAlign val="subscript"/>
      <sz val="14"/>
      <color theme="1"/>
      <name val="Calibri"/>
      <family val="2"/>
      <scheme val="minor"/>
    </font>
    <font>
      <u/>
      <sz val="12"/>
      <color theme="1"/>
      <name val="Calibri"/>
      <family val="2"/>
      <scheme val="minor"/>
    </font>
    <font>
      <i/>
      <sz val="12"/>
      <color theme="1"/>
      <name val="Calibri"/>
      <family val="2"/>
      <scheme val="minor"/>
    </font>
    <font>
      <sz val="8"/>
      <color theme="1"/>
      <name val="Calibri"/>
      <family val="2"/>
      <scheme val="minor"/>
    </font>
    <font>
      <b/>
      <sz val="9"/>
      <color theme="1"/>
      <name val="Calibri"/>
      <family val="2"/>
      <scheme val="minor"/>
    </font>
    <font>
      <b/>
      <u/>
      <sz val="9"/>
      <color indexed="81"/>
      <name val="Tahoma"/>
      <family val="2"/>
    </font>
    <font>
      <sz val="9"/>
      <color indexed="10"/>
      <name val="Tahoma"/>
      <family val="2"/>
    </font>
    <font>
      <b/>
      <sz val="9"/>
      <color indexed="10"/>
      <name val="Tahoma"/>
      <family val="2"/>
    </font>
    <font>
      <sz val="9"/>
      <color indexed="81"/>
      <name val="Tahoma"/>
      <charset val="1"/>
    </font>
    <font>
      <sz val="8"/>
      <name val="Calibri"/>
      <family val="2"/>
      <scheme val="minor"/>
    </font>
    <font>
      <i/>
      <sz val="11"/>
      <color theme="1"/>
      <name val="Calibri"/>
      <family val="2"/>
      <scheme val="minor"/>
    </font>
    <font>
      <b/>
      <sz val="20"/>
      <color theme="1"/>
      <name val="Calibri"/>
      <family val="2"/>
      <scheme val="minor"/>
    </font>
    <font>
      <sz val="11"/>
      <color rgb="FF242424"/>
      <name val="Calibri"/>
      <family val="2"/>
      <scheme val="minor"/>
    </font>
  </fonts>
  <fills count="27">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CD5B4"/>
        <bgColor rgb="FF000000"/>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F3"/>
        <bgColor indexed="64"/>
      </patternFill>
    </fill>
    <fill>
      <patternFill patternType="solid">
        <fgColor theme="9" tint="0.39997558519241921"/>
        <bgColor indexed="64"/>
      </patternFill>
    </fill>
    <fill>
      <patternFill patternType="solid">
        <fgColor theme="4" tint="0.79998168889431442"/>
        <bgColor rgb="FF000000"/>
      </patternFill>
    </fill>
    <fill>
      <patternFill patternType="solid">
        <fgColor theme="0" tint="-4.9989318521683403E-2"/>
        <bgColor rgb="FF000000"/>
      </patternFill>
    </fill>
    <fill>
      <patternFill patternType="solid">
        <fgColor theme="5" tint="0.39997558519241921"/>
        <bgColor rgb="FF000000"/>
      </patternFill>
    </fill>
    <fill>
      <patternFill patternType="solid">
        <fgColor theme="5" tint="0.39997558519241921"/>
        <bgColor indexed="64"/>
      </patternFill>
    </fill>
    <fill>
      <patternFill patternType="solid">
        <fgColor theme="9" tint="0.59999389629810485"/>
        <bgColor rgb="FF000000"/>
      </patternFill>
    </fill>
    <fill>
      <patternFill patternType="solid">
        <fgColor theme="9" tint="0.39997558519241921"/>
        <bgColor rgb="FF000000"/>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79998168889431442"/>
        <bgColor rgb="FF000000"/>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44" fontId="1" fillId="0" borderId="0" applyFont="0" applyFill="0" applyBorder="0" applyAlignment="0" applyProtection="0"/>
  </cellStyleXfs>
  <cellXfs count="356">
    <xf numFmtId="0" fontId="0" fillId="0" borderId="0" xfId="0"/>
    <xf numFmtId="0" fontId="3" fillId="0" borderId="0" xfId="0" applyFont="1"/>
    <xf numFmtId="0" fontId="10" fillId="0" borderId="0" xfId="0" applyFont="1"/>
    <xf numFmtId="0" fontId="10" fillId="0" borderId="0" xfId="0" applyFont="1" applyAlignment="1">
      <alignment wrapText="1"/>
    </xf>
    <xf numFmtId="0" fontId="10" fillId="9" borderId="0" xfId="0" applyFont="1" applyFill="1" applyAlignment="1">
      <alignment wrapText="1"/>
    </xf>
    <xf numFmtId="0" fontId="17" fillId="0" borderId="0" xfId="2" applyNumberFormat="1" applyFont="1" applyFill="1" applyBorder="1"/>
    <xf numFmtId="10" fontId="17" fillId="0" borderId="0" xfId="2" applyNumberFormat="1" applyFont="1" applyFill="1" applyBorder="1"/>
    <xf numFmtId="0" fontId="3" fillId="0" borderId="0" xfId="0" applyFont="1" applyAlignment="1">
      <alignment horizontal="left" indent="2"/>
    </xf>
    <xf numFmtId="0" fontId="0" fillId="0" borderId="0" xfId="0" applyAlignment="1">
      <alignment horizontal="left" indent="2"/>
    </xf>
    <xf numFmtId="0" fontId="0" fillId="0" borderId="0" xfId="0" applyAlignment="1">
      <alignment horizontal="left" indent="5"/>
    </xf>
    <xf numFmtId="0" fontId="3" fillId="0" borderId="0" xfId="0" applyFont="1" applyAlignment="1">
      <alignment horizontal="center"/>
    </xf>
    <xf numFmtId="0" fontId="2" fillId="0" borderId="0" xfId="0" applyFont="1"/>
    <xf numFmtId="0" fontId="10" fillId="4" borderId="0" xfId="0" applyFont="1" applyFill="1" applyAlignment="1">
      <alignment wrapText="1"/>
    </xf>
    <xf numFmtId="0" fontId="10" fillId="4" borderId="0" xfId="0" applyFont="1" applyFill="1" applyAlignment="1">
      <alignment horizontal="left" wrapText="1" indent="3"/>
    </xf>
    <xf numFmtId="0" fontId="13" fillId="12" borderId="0" xfId="0" applyFont="1" applyFill="1" applyAlignment="1">
      <alignment horizontal="center"/>
    </xf>
    <xf numFmtId="0" fontId="10" fillId="9" borderId="0" xfId="0" applyFont="1" applyFill="1"/>
    <xf numFmtId="10" fontId="16" fillId="4" borderId="0" xfId="2" applyNumberFormat="1" applyFont="1" applyFill="1" applyBorder="1"/>
    <xf numFmtId="0" fontId="0" fillId="0" borderId="0" xfId="0" applyAlignment="1">
      <alignment horizontal="left" wrapText="1" indent="5"/>
    </xf>
    <xf numFmtId="0" fontId="33" fillId="0" borderId="0" xfId="0" applyFont="1" applyAlignment="1">
      <alignment horizontal="left" indent="1"/>
    </xf>
    <xf numFmtId="0" fontId="5" fillId="0" borderId="0" xfId="3" applyFill="1" applyAlignment="1" applyProtection="1"/>
    <xf numFmtId="0" fontId="5" fillId="19" borderId="0" xfId="3" applyFill="1" applyAlignment="1" applyProtection="1"/>
    <xf numFmtId="0" fontId="28" fillId="19" borderId="0" xfId="0" applyFont="1" applyFill="1"/>
    <xf numFmtId="0" fontId="34" fillId="3" borderId="0" xfId="0" applyFont="1" applyFill="1" applyAlignment="1">
      <alignment horizontal="center" vertical="center" wrapText="1"/>
    </xf>
    <xf numFmtId="0" fontId="0" fillId="0" borderId="0" xfId="0" applyAlignment="1">
      <alignment horizontal="left" indent="8"/>
    </xf>
    <xf numFmtId="169" fontId="0" fillId="0" borderId="0" xfId="1" applyNumberFormat="1" applyFont="1" applyFill="1" applyBorder="1" applyAlignment="1" applyProtection="1">
      <alignment horizontal="center"/>
    </xf>
    <xf numFmtId="170" fontId="0" fillId="0" borderId="0" xfId="1" applyNumberFormat="1" applyFont="1" applyFill="1" applyBorder="1" applyProtection="1"/>
    <xf numFmtId="170" fontId="0" fillId="0" borderId="0" xfId="1" applyNumberFormat="1" applyFont="1" applyFill="1" applyBorder="1" applyAlignment="1" applyProtection="1">
      <alignment horizontal="center"/>
    </xf>
    <xf numFmtId="0" fontId="5" fillId="0" borderId="0" xfId="3" applyFill="1" applyBorder="1" applyAlignment="1" applyProtection="1"/>
    <xf numFmtId="0" fontId="3" fillId="0" borderId="0" xfId="0" applyFont="1" applyAlignment="1">
      <alignment horizontal="right"/>
    </xf>
    <xf numFmtId="0" fontId="5" fillId="0" borderId="0" xfId="3" applyFill="1" applyBorder="1" applyAlignment="1" applyProtection="1">
      <alignment horizontal="left"/>
    </xf>
    <xf numFmtId="44" fontId="0" fillId="0" borderId="0" xfId="5" applyFont="1" applyBorder="1"/>
    <xf numFmtId="175" fontId="32" fillId="17" borderId="0" xfId="5" applyNumberFormat="1" applyFont="1" applyFill="1" applyBorder="1" applyAlignment="1">
      <alignment horizontal="center" wrapText="1"/>
    </xf>
    <xf numFmtId="175" fontId="32" fillId="18" borderId="0" xfId="5" applyNumberFormat="1" applyFont="1" applyFill="1" applyBorder="1" applyAlignment="1">
      <alignment horizontal="center" wrapText="1"/>
    </xf>
    <xf numFmtId="44" fontId="0" fillId="0" borderId="0" xfId="0" applyNumberFormat="1"/>
    <xf numFmtId="175" fontId="15" fillId="20" borderId="0" xfId="5" applyNumberFormat="1" applyFont="1" applyFill="1" applyBorder="1" applyAlignment="1">
      <alignment horizontal="center" wrapText="1"/>
    </xf>
    <xf numFmtId="175" fontId="15" fillId="20" borderId="2" xfId="5" applyNumberFormat="1" applyFont="1" applyFill="1" applyBorder="1" applyAlignment="1">
      <alignment horizontal="center" wrapText="1"/>
    </xf>
    <xf numFmtId="175" fontId="15" fillId="20" borderId="3" xfId="5" applyNumberFormat="1" applyFont="1" applyFill="1" applyBorder="1" applyAlignment="1">
      <alignment horizontal="center" wrapText="1"/>
    </xf>
    <xf numFmtId="175" fontId="15" fillId="20" borderId="6" xfId="5" applyNumberFormat="1" applyFont="1" applyFill="1" applyBorder="1" applyAlignment="1">
      <alignment horizontal="center" wrapText="1"/>
    </xf>
    <xf numFmtId="168" fontId="15" fillId="20" borderId="2" xfId="0" applyNumberFormat="1" applyFont="1" applyFill="1" applyBorder="1" applyAlignment="1">
      <alignment horizontal="center" wrapText="1"/>
    </xf>
    <xf numFmtId="168" fontId="15" fillId="14" borderId="3" xfId="0" applyNumberFormat="1" applyFont="1" applyFill="1" applyBorder="1" applyAlignment="1">
      <alignment horizontal="center" wrapText="1"/>
    </xf>
    <xf numFmtId="168" fontId="15" fillId="20" borderId="2" xfId="0" applyNumberFormat="1" applyFont="1" applyFill="1" applyBorder="1" applyAlignment="1">
      <alignment horizontal="center"/>
    </xf>
    <xf numFmtId="168" fontId="15" fillId="14" borderId="3" xfId="0" applyNumberFormat="1" applyFont="1" applyFill="1" applyBorder="1" applyAlignment="1">
      <alignment horizontal="center"/>
    </xf>
    <xf numFmtId="168" fontId="15" fillId="20" borderId="4" xfId="0" applyNumberFormat="1" applyFont="1" applyFill="1" applyBorder="1" applyAlignment="1">
      <alignment horizontal="center" wrapText="1"/>
    </xf>
    <xf numFmtId="168" fontId="15" fillId="20" borderId="5" xfId="0" applyNumberFormat="1" applyFont="1" applyFill="1" applyBorder="1" applyAlignment="1">
      <alignment horizontal="center" wrapText="1"/>
    </xf>
    <xf numFmtId="168" fontId="15" fillId="14" borderId="6" xfId="0" applyNumberFormat="1" applyFont="1" applyFill="1" applyBorder="1" applyAlignment="1">
      <alignment horizontal="center" wrapText="1"/>
    </xf>
    <xf numFmtId="3" fontId="15" fillId="21" borderId="2" xfId="0" applyNumberFormat="1" applyFont="1" applyFill="1" applyBorder="1" applyAlignment="1">
      <alignment horizontal="center" wrapText="1"/>
    </xf>
    <xf numFmtId="3" fontId="15" fillId="21" borderId="4" xfId="0" applyNumberFormat="1" applyFont="1" applyFill="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44" fontId="15" fillId="7" borderId="2" xfId="5" applyFont="1" applyFill="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44" fontId="15" fillId="7" borderId="4" xfId="5" applyFont="1" applyFill="1" applyBorder="1" applyAlignment="1">
      <alignment horizontal="center" wrapText="1"/>
    </xf>
    <xf numFmtId="3" fontId="15" fillId="14" borderId="3" xfId="0" applyNumberFormat="1" applyFont="1" applyFill="1" applyBorder="1" applyAlignment="1">
      <alignment horizontal="center" wrapText="1"/>
    </xf>
    <xf numFmtId="175" fontId="0" fillId="0" borderId="2" xfId="5" applyNumberFormat="1" applyFont="1" applyFill="1" applyBorder="1" applyAlignment="1">
      <alignment horizontal="center"/>
    </xf>
    <xf numFmtId="175" fontId="0" fillId="0" borderId="0" xfId="5" applyNumberFormat="1" applyFont="1" applyFill="1" applyBorder="1" applyAlignment="1">
      <alignment horizontal="center"/>
    </xf>
    <xf numFmtId="175" fontId="0" fillId="20" borderId="2" xfId="5" applyNumberFormat="1" applyFont="1" applyFill="1" applyBorder="1" applyAlignment="1">
      <alignment horizontal="center"/>
    </xf>
    <xf numFmtId="175" fontId="0" fillId="20" borderId="0" xfId="5" applyNumberFormat="1" applyFont="1" applyFill="1" applyBorder="1" applyAlignment="1">
      <alignment horizontal="center"/>
    </xf>
    <xf numFmtId="3" fontId="0" fillId="20" borderId="3" xfId="0" applyNumberFormat="1" applyFill="1" applyBorder="1" applyAlignment="1">
      <alignment horizontal="center"/>
    </xf>
    <xf numFmtId="175" fontId="0" fillId="20" borderId="4" xfId="5" applyNumberFormat="1" applyFont="1" applyFill="1" applyBorder="1" applyAlignment="1">
      <alignment horizontal="center"/>
    </xf>
    <xf numFmtId="175" fontId="0" fillId="20" borderId="5" xfId="5" applyNumberFormat="1" applyFont="1" applyFill="1" applyBorder="1" applyAlignment="1">
      <alignment horizontal="center"/>
    </xf>
    <xf numFmtId="0" fontId="12" fillId="20" borderId="9" xfId="0" applyFont="1" applyFill="1" applyBorder="1"/>
    <xf numFmtId="3" fontId="14" fillId="20" borderId="2" xfId="0" applyNumberFormat="1" applyFont="1" applyFill="1" applyBorder="1" applyAlignment="1">
      <alignment horizontal="left" wrapText="1"/>
    </xf>
    <xf numFmtId="0" fontId="3" fillId="20" borderId="3" xfId="0" applyFont="1" applyFill="1" applyBorder="1" applyAlignment="1">
      <alignment horizontal="center"/>
    </xf>
    <xf numFmtId="1" fontId="3" fillId="20" borderId="3" xfId="0" applyNumberFormat="1" applyFont="1" applyFill="1" applyBorder="1" applyAlignment="1">
      <alignment horizontal="center"/>
    </xf>
    <xf numFmtId="0" fontId="0" fillId="0" borderId="2" xfId="0" applyBorder="1"/>
    <xf numFmtId="0" fontId="0" fillId="0" borderId="3" xfId="0" applyBorder="1"/>
    <xf numFmtId="0" fontId="3" fillId="0" borderId="2" xfId="0" applyFont="1" applyBorder="1" applyAlignment="1">
      <alignment horizontal="center"/>
    </xf>
    <xf numFmtId="0" fontId="0" fillId="0" borderId="4" xfId="0" applyBorder="1"/>
    <xf numFmtId="0" fontId="0" fillId="0" borderId="5" xfId="0" applyBorder="1"/>
    <xf numFmtId="0" fontId="0" fillId="0" borderId="6" xfId="0" applyBorder="1"/>
    <xf numFmtId="0" fontId="5" fillId="0" borderId="2" xfId="3" applyBorder="1" applyAlignment="1" applyProtection="1"/>
    <xf numFmtId="0" fontId="19" fillId="14" borderId="3" xfId="0" applyFont="1" applyFill="1" applyBorder="1" applyAlignment="1">
      <alignment horizontal="center" wrapText="1"/>
    </xf>
    <xf numFmtId="0" fontId="0" fillId="0" borderId="0" xfId="0" applyAlignment="1">
      <alignment horizontal="center"/>
    </xf>
    <xf numFmtId="0" fontId="11" fillId="0" borderId="0" xfId="0" applyFont="1"/>
    <xf numFmtId="174" fontId="16" fillId="0" borderId="0" xfId="5" applyNumberFormat="1" applyFont="1" applyFill="1" applyBorder="1" applyAlignment="1">
      <alignment horizontal="center"/>
    </xf>
    <xf numFmtId="9" fontId="15" fillId="0" borderId="3" xfId="2" applyFont="1" applyFill="1" applyBorder="1" applyAlignment="1">
      <alignment horizontal="center" wrapText="1"/>
    </xf>
    <xf numFmtId="9" fontId="15" fillId="21" borderId="3" xfId="2" applyFont="1" applyFill="1" applyBorder="1" applyAlignment="1">
      <alignment horizontal="center" wrapText="1"/>
    </xf>
    <xf numFmtId="9" fontId="15" fillId="0" borderId="6" xfId="2" applyFont="1" applyFill="1" applyBorder="1" applyAlignment="1">
      <alignment horizontal="center" wrapText="1"/>
    </xf>
    <xf numFmtId="169" fontId="31" fillId="0" borderId="0" xfId="1" applyNumberFormat="1" applyFont="1" applyFill="1" applyBorder="1" applyAlignment="1">
      <alignment horizontal="center" vertical="center"/>
    </xf>
    <xf numFmtId="175" fontId="0" fillId="20" borderId="1" xfId="5" applyNumberFormat="1" applyFont="1" applyFill="1" applyBorder="1" applyAlignment="1">
      <alignment horizontal="center"/>
    </xf>
    <xf numFmtId="0" fontId="15" fillId="20" borderId="1" xfId="0" applyFont="1" applyFill="1" applyBorder="1" applyAlignment="1">
      <alignment wrapText="1"/>
    </xf>
    <xf numFmtId="0" fontId="27" fillId="0" borderId="0" xfId="0" applyFont="1"/>
    <xf numFmtId="0" fontId="12" fillId="23" borderId="0" xfId="0" applyFont="1" applyFill="1" applyAlignment="1">
      <alignment wrapText="1"/>
    </xf>
    <xf numFmtId="0" fontId="12" fillId="24" borderId="0" xfId="0" applyFont="1" applyFill="1" applyAlignment="1">
      <alignment horizontal="left"/>
    </xf>
    <xf numFmtId="0" fontId="0" fillId="25" borderId="0" xfId="0" applyFill="1" applyAlignment="1">
      <alignment horizontal="left" wrapText="1" indent="1"/>
    </xf>
    <xf numFmtId="0" fontId="0" fillId="0" borderId="0" xfId="0" applyProtection="1">
      <protection locked="0"/>
    </xf>
    <xf numFmtId="0" fontId="39" fillId="2" borderId="0" xfId="0" applyFont="1" applyFill="1" applyAlignment="1">
      <alignment horizontal="left" vertical="center"/>
    </xf>
    <xf numFmtId="0" fontId="4" fillId="2" borderId="0" xfId="0" applyFont="1" applyFill="1" applyAlignment="1">
      <alignment horizontal="left"/>
    </xf>
    <xf numFmtId="0" fontId="26" fillId="4" borderId="0" xfId="0" applyFont="1" applyFill="1" applyAlignment="1">
      <alignment vertical="top" wrapText="1"/>
    </xf>
    <xf numFmtId="0" fontId="45" fillId="0" borderId="0" xfId="0" applyFont="1" applyAlignment="1">
      <alignment horizontal="center" wrapText="1"/>
    </xf>
    <xf numFmtId="0" fontId="3" fillId="0" borderId="0" xfId="0" applyFont="1" applyAlignment="1">
      <alignment horizontal="left"/>
    </xf>
    <xf numFmtId="0" fontId="0" fillId="0" borderId="0" xfId="0" applyAlignment="1" applyProtection="1">
      <alignment horizontal="center"/>
      <protection locked="0"/>
    </xf>
    <xf numFmtId="0" fontId="0" fillId="0" borderId="0" xfId="0" applyAlignment="1">
      <alignment horizontal="left" wrapText="1" indent="3"/>
    </xf>
    <xf numFmtId="9" fontId="45" fillId="0" borderId="0" xfId="2" applyFont="1" applyAlignment="1" applyProtection="1">
      <alignment horizontal="center"/>
    </xf>
    <xf numFmtId="0" fontId="0" fillId="0" borderId="0" xfId="0" applyAlignment="1">
      <alignment horizontal="left" wrapText="1" indent="7"/>
    </xf>
    <xf numFmtId="9" fontId="0" fillId="0" borderId="0" xfId="0" applyNumberFormat="1"/>
    <xf numFmtId="0" fontId="0" fillId="0" borderId="3" xfId="0" applyBorder="1" applyAlignment="1">
      <alignment horizontal="center"/>
    </xf>
    <xf numFmtId="0" fontId="0" fillId="0" borderId="0" xfId="0" applyAlignment="1">
      <alignment horizontal="left" vertical="center" wrapText="1" indent="5"/>
    </xf>
    <xf numFmtId="0" fontId="36" fillId="0" borderId="0" xfId="0" applyFont="1" applyAlignment="1">
      <alignment vertical="top" wrapText="1"/>
    </xf>
    <xf numFmtId="0" fontId="25" fillId="2" borderId="0" xfId="0" applyFont="1" applyFill="1" applyAlignment="1">
      <alignment horizontal="left"/>
    </xf>
    <xf numFmtId="9" fontId="0" fillId="11" borderId="0" xfId="0" applyNumberFormat="1" applyFill="1" applyAlignment="1" applyProtection="1">
      <alignment horizontal="center"/>
      <protection locked="0"/>
    </xf>
    <xf numFmtId="0" fontId="0" fillId="2" borderId="0" xfId="0" applyFill="1"/>
    <xf numFmtId="0" fontId="45" fillId="0" borderId="0" xfId="0" applyFont="1" applyAlignment="1">
      <alignment horizontal="center" vertical="center" wrapText="1"/>
    </xf>
    <xf numFmtId="0" fontId="27" fillId="5" borderId="10" xfId="0" applyFont="1" applyFill="1" applyBorder="1" applyAlignment="1">
      <alignment horizontal="right"/>
    </xf>
    <xf numFmtId="0" fontId="27" fillId="5" borderId="12" xfId="0" applyFont="1" applyFill="1" applyBorder="1"/>
    <xf numFmtId="0" fontId="27" fillId="5" borderId="13" xfId="0" applyFont="1" applyFill="1" applyBorder="1" applyAlignment="1">
      <alignment horizontal="right"/>
    </xf>
    <xf numFmtId="0" fontId="27" fillId="5" borderId="14" xfId="0" applyFont="1" applyFill="1" applyBorder="1"/>
    <xf numFmtId="0" fontId="27" fillId="6" borderId="15" xfId="0" applyFont="1" applyFill="1" applyBorder="1" applyAlignment="1">
      <alignment horizontal="right"/>
    </xf>
    <xf numFmtId="0" fontId="27" fillId="6" borderId="17" xfId="0" applyFont="1" applyFill="1" applyBorder="1"/>
    <xf numFmtId="0" fontId="41" fillId="4" borderId="0" xfId="0" applyFont="1" applyFill="1" applyAlignment="1">
      <alignment horizontal="left" vertical="center"/>
    </xf>
    <xf numFmtId="0" fontId="25" fillId="4" borderId="0" xfId="0" applyFont="1" applyFill="1" applyAlignment="1">
      <alignment horizontal="left"/>
    </xf>
    <xf numFmtId="0" fontId="3" fillId="0" borderId="0" xfId="0" applyFont="1" applyAlignment="1">
      <alignment horizontal="center" vertical="center" wrapText="1"/>
    </xf>
    <xf numFmtId="0" fontId="27" fillId="6" borderId="0" xfId="0" applyFont="1" applyFill="1" applyAlignment="1">
      <alignment horizontal="right"/>
    </xf>
    <xf numFmtId="169" fontId="0" fillId="5" borderId="0" xfId="1" applyNumberFormat="1" applyFont="1" applyFill="1" applyBorder="1" applyAlignment="1" applyProtection="1">
      <alignment horizontal="center"/>
    </xf>
    <xf numFmtId="169" fontId="0" fillId="0" borderId="0" xfId="0" applyNumberFormat="1"/>
    <xf numFmtId="0" fontId="27" fillId="6" borderId="0" xfId="0" applyFont="1" applyFill="1" applyAlignment="1">
      <alignment horizontal="right" vertical="center"/>
    </xf>
    <xf numFmtId="169" fontId="0" fillId="6" borderId="0" xfId="1" applyNumberFormat="1" applyFont="1" applyFill="1" applyBorder="1" applyAlignment="1" applyProtection="1">
      <alignment horizontal="center" vertical="center"/>
    </xf>
    <xf numFmtId="0" fontId="30" fillId="15" borderId="0" xfId="0" applyFont="1" applyFill="1" applyAlignment="1">
      <alignment horizontal="left"/>
    </xf>
    <xf numFmtId="0" fontId="19" fillId="15" borderId="0" xfId="0" applyFont="1" applyFill="1" applyAlignment="1">
      <alignment horizontal="left"/>
    </xf>
    <xf numFmtId="0" fontId="17" fillId="16" borderId="0" xfId="0" applyFont="1" applyFill="1"/>
    <xf numFmtId="0" fontId="17" fillId="0" borderId="0" xfId="0" applyFont="1"/>
    <xf numFmtId="0" fontId="19" fillId="13" borderId="0" xfId="0" applyFont="1" applyFill="1" applyAlignment="1">
      <alignment horizontal="left"/>
    </xf>
    <xf numFmtId="164" fontId="11" fillId="0" borderId="0" xfId="0" applyNumberFormat="1" applyFont="1"/>
    <xf numFmtId="173" fontId="11" fillId="0" borderId="0" xfId="0" applyNumberFormat="1" applyFont="1"/>
    <xf numFmtId="172" fontId="17" fillId="0" borderId="0" xfId="0" applyNumberFormat="1" applyFont="1"/>
    <xf numFmtId="0" fontId="16" fillId="14" borderId="0" xfId="0" applyFont="1" applyFill="1" applyAlignment="1">
      <alignment horizontal="left" wrapText="1"/>
    </xf>
    <xf numFmtId="0" fontId="16" fillId="14" borderId="0" xfId="0" applyFont="1" applyFill="1" applyAlignment="1">
      <alignment horizontal="right" wrapText="1"/>
    </xf>
    <xf numFmtId="0" fontId="17" fillId="0" borderId="0" xfId="0" applyFont="1" applyAlignment="1">
      <alignment wrapText="1"/>
    </xf>
    <xf numFmtId="0" fontId="0" fillId="20" borderId="0" xfId="0" applyFill="1" applyAlignment="1">
      <alignment horizontal="right"/>
    </xf>
    <xf numFmtId="0" fontId="17" fillId="0" borderId="0" xfId="0" applyFont="1" applyAlignment="1">
      <alignment horizontal="left"/>
    </xf>
    <xf numFmtId="0" fontId="21" fillId="0" borderId="0" xfId="0" applyFont="1" applyAlignment="1">
      <alignment horizontal="right"/>
    </xf>
    <xf numFmtId="164" fontId="21" fillId="0" borderId="0" xfId="0" applyNumberFormat="1" applyFont="1" applyAlignment="1">
      <alignment horizontal="right"/>
    </xf>
    <xf numFmtId="11" fontId="17" fillId="0" borderId="0" xfId="0" applyNumberFormat="1" applyFont="1" applyAlignment="1">
      <alignment horizontal="right"/>
    </xf>
    <xf numFmtId="0" fontId="17" fillId="0" borderId="0" xfId="0" applyFont="1" applyAlignment="1">
      <alignment horizontal="right"/>
    </xf>
    <xf numFmtId="165" fontId="17" fillId="0" borderId="0" xfId="0" applyNumberFormat="1" applyFont="1" applyAlignment="1">
      <alignment horizontal="right"/>
    </xf>
    <xf numFmtId="0" fontId="18" fillId="0" borderId="0" xfId="0" applyFont="1" applyAlignment="1">
      <alignment horizontal="left"/>
    </xf>
    <xf numFmtId="0" fontId="19" fillId="14" borderId="0" xfId="0" applyFont="1" applyFill="1" applyAlignment="1">
      <alignment horizontal="right" wrapText="1"/>
    </xf>
    <xf numFmtId="0" fontId="0" fillId="20" borderId="0" xfId="0" applyFill="1"/>
    <xf numFmtId="166" fontId="17" fillId="0" borderId="0" xfId="0" applyNumberFormat="1" applyFont="1" applyAlignment="1">
      <alignment horizontal="right"/>
    </xf>
    <xf numFmtId="167" fontId="17" fillId="0" borderId="0" xfId="0" applyNumberFormat="1" applyFont="1" applyAlignment="1">
      <alignment horizontal="right"/>
    </xf>
    <xf numFmtId="164" fontId="17" fillId="0" borderId="0" xfId="0" applyNumberFormat="1" applyFont="1" applyAlignment="1">
      <alignment horizontal="right"/>
    </xf>
    <xf numFmtId="0" fontId="11" fillId="0" borderId="0" xfId="0" applyFont="1" applyAlignment="1">
      <alignment horizontal="right"/>
    </xf>
    <xf numFmtId="0" fontId="24" fillId="0" borderId="0" xfId="0" applyFont="1"/>
    <xf numFmtId="0" fontId="18" fillId="0" borderId="0" xfId="0" applyFont="1"/>
    <xf numFmtId="0" fontId="17" fillId="13" borderId="0" xfId="0" applyFont="1" applyFill="1"/>
    <xf numFmtId="0" fontId="16" fillId="4" borderId="0" xfId="0" applyFont="1" applyFill="1"/>
    <xf numFmtId="0" fontId="17" fillId="0" borderId="0" xfId="4" applyFont="1" applyAlignment="1">
      <alignment wrapText="1"/>
    </xf>
    <xf numFmtId="0" fontId="11" fillId="0" borderId="0" xfId="4" applyFont="1" applyAlignment="1">
      <alignment horizontal="left"/>
    </xf>
    <xf numFmtId="0" fontId="19" fillId="13" borderId="0" xfId="0" applyFont="1" applyFill="1" applyAlignment="1">
      <alignment horizontal="center"/>
    </xf>
    <xf numFmtId="0" fontId="17" fillId="0" borderId="0" xfId="4" applyFont="1" applyAlignment="1">
      <alignment horizontal="center" wrapText="1"/>
    </xf>
    <xf numFmtId="0" fontId="17" fillId="0" borderId="0" xfId="0" applyFont="1" applyAlignment="1">
      <alignment horizontal="center"/>
    </xf>
    <xf numFmtId="0" fontId="21" fillId="0" borderId="0" xfId="0" applyFont="1" applyAlignment="1">
      <alignment horizontal="left"/>
    </xf>
    <xf numFmtId="4" fontId="16" fillId="0" borderId="0" xfId="0" applyNumberFormat="1" applyFont="1"/>
    <xf numFmtId="0" fontId="19" fillId="13" borderId="0" xfId="0" applyFont="1" applyFill="1" applyAlignment="1">
      <alignment horizontal="center" vertical="center"/>
    </xf>
    <xf numFmtId="0" fontId="19" fillId="13" borderId="0" xfId="0" applyFont="1" applyFill="1" applyAlignment="1">
      <alignment horizontal="center" vertical="center" wrapText="1"/>
    </xf>
    <xf numFmtId="0" fontId="17" fillId="0" borderId="0" xfId="0" applyFont="1" applyAlignment="1">
      <alignment horizontal="right" wrapText="1"/>
    </xf>
    <xf numFmtId="0" fontId="0" fillId="0" borderId="0" xfId="0" applyAlignment="1">
      <alignment horizontal="left" indent="3"/>
    </xf>
    <xf numFmtId="0" fontId="15" fillId="0" borderId="0" xfId="0" applyFont="1" applyAlignment="1">
      <alignment horizontal="left" wrapText="1" indent="3"/>
    </xf>
    <xf numFmtId="0" fontId="0" fillId="0" borderId="0" xfId="0" applyAlignment="1">
      <alignment vertical="top" wrapText="1"/>
    </xf>
    <xf numFmtId="0" fontId="0" fillId="0" borderId="0" xfId="0" applyAlignment="1">
      <alignment vertical="top"/>
    </xf>
    <xf numFmtId="0" fontId="26" fillId="0" borderId="0" xfId="0" applyFont="1" applyAlignment="1">
      <alignment horizontal="left" wrapText="1"/>
    </xf>
    <xf numFmtId="0" fontId="0" fillId="19" borderId="0" xfId="0" applyFill="1"/>
    <xf numFmtId="0" fontId="32" fillId="0" borderId="0" xfId="0" applyFont="1" applyAlignment="1">
      <alignment horizontal="right"/>
    </xf>
    <xf numFmtId="1" fontId="32" fillId="15" borderId="0" xfId="0" applyNumberFormat="1" applyFont="1" applyFill="1" applyAlignment="1">
      <alignment horizontal="center" wrapText="1"/>
    </xf>
    <xf numFmtId="0" fontId="15" fillId="0" borderId="0" xfId="0" applyFont="1"/>
    <xf numFmtId="3" fontId="14" fillId="0" borderId="1" xfId="0" applyNumberFormat="1" applyFont="1" applyBorder="1" applyAlignment="1">
      <alignment horizontal="center" wrapText="1"/>
    </xf>
    <xf numFmtId="3" fontId="14" fillId="0" borderId="0" xfId="0" applyNumberFormat="1" applyFont="1" applyAlignment="1">
      <alignment horizontal="center" wrapText="1"/>
    </xf>
    <xf numFmtId="0" fontId="0" fillId="20" borderId="7" xfId="0" applyFill="1" applyBorder="1"/>
    <xf numFmtId="0" fontId="0" fillId="20" borderId="9" xfId="0" applyFill="1" applyBorder="1"/>
    <xf numFmtId="0" fontId="0" fillId="20" borderId="8" xfId="0" applyFill="1" applyBorder="1"/>
    <xf numFmtId="0" fontId="14" fillId="0" borderId="0" xfId="0" applyFont="1" applyAlignment="1">
      <alignment wrapText="1"/>
    </xf>
    <xf numFmtId="0" fontId="14" fillId="0" borderId="1" xfId="0" applyFont="1" applyBorder="1" applyAlignment="1">
      <alignment horizontal="center" wrapText="1"/>
    </xf>
    <xf numFmtId="0" fontId="3" fillId="20" borderId="0" xfId="0" applyFont="1" applyFill="1" applyAlignment="1">
      <alignment horizontal="center" wrapText="1"/>
    </xf>
    <xf numFmtId="0" fontId="3" fillId="20" borderId="0" xfId="0" applyFont="1" applyFill="1" applyAlignment="1">
      <alignment horizontal="center"/>
    </xf>
    <xf numFmtId="1" fontId="0" fillId="0" borderId="0" xfId="0" applyNumberFormat="1"/>
    <xf numFmtId="168" fontId="15" fillId="20" borderId="0" xfId="0" applyNumberFormat="1" applyFont="1" applyFill="1" applyAlignment="1">
      <alignment horizontal="center" wrapText="1"/>
    </xf>
    <xf numFmtId="0" fontId="0" fillId="20" borderId="2" xfId="0" applyFill="1" applyBorder="1"/>
    <xf numFmtId="1" fontId="3" fillId="20" borderId="0" xfId="0" applyNumberFormat="1" applyFont="1" applyFill="1" applyAlignment="1">
      <alignment horizontal="center"/>
    </xf>
    <xf numFmtId="3" fontId="0" fillId="0" borderId="0" xfId="0" applyNumberFormat="1"/>
    <xf numFmtId="3" fontId="15" fillId="0" borderId="2" xfId="0" applyNumberFormat="1" applyFont="1" applyBorder="1" applyAlignment="1">
      <alignment horizontal="center" wrapText="1"/>
    </xf>
    <xf numFmtId="168" fontId="15" fillId="0" borderId="2" xfId="0" applyNumberFormat="1" applyFont="1" applyBorder="1" applyAlignment="1">
      <alignment horizontal="center" wrapText="1"/>
    </xf>
    <xf numFmtId="168" fontId="15" fillId="0" borderId="0" xfId="0" applyNumberFormat="1" applyFont="1" applyAlignment="1">
      <alignment horizontal="center" wrapText="1"/>
    </xf>
    <xf numFmtId="168" fontId="15" fillId="0" borderId="3" xfId="0" applyNumberFormat="1" applyFont="1" applyBorder="1" applyAlignment="1">
      <alignment horizontal="center" wrapText="1"/>
    </xf>
    <xf numFmtId="0" fontId="0" fillId="20" borderId="1" xfId="0" applyFill="1" applyBorder="1" applyAlignment="1">
      <alignment wrapText="1"/>
    </xf>
    <xf numFmtId="172" fontId="0" fillId="20" borderId="1" xfId="0" applyNumberFormat="1" applyFill="1" applyBorder="1" applyAlignment="1">
      <alignment horizontal="center"/>
    </xf>
    <xf numFmtId="168" fontId="15" fillId="20" borderId="0" xfId="0" applyNumberFormat="1" applyFont="1" applyFill="1" applyAlignment="1">
      <alignment horizontal="center"/>
    </xf>
    <xf numFmtId="3" fontId="15" fillId="0" borderId="0" xfId="0" applyNumberFormat="1" applyFont="1"/>
    <xf numFmtId="168" fontId="15" fillId="0" borderId="0" xfId="0" applyNumberFormat="1" applyFont="1" applyAlignment="1">
      <alignment horizontal="center"/>
    </xf>
    <xf numFmtId="4" fontId="14" fillId="0" borderId="0" xfId="0" applyNumberFormat="1" applyFont="1" applyAlignment="1">
      <alignment horizontal="center" wrapText="1"/>
    </xf>
    <xf numFmtId="168" fontId="16" fillId="22" borderId="0" xfId="0" applyNumberFormat="1" applyFont="1" applyFill="1" applyAlignment="1">
      <alignment horizontal="center" wrapText="1"/>
    </xf>
    <xf numFmtId="0" fontId="32" fillId="0" borderId="0" xfId="0" applyFont="1"/>
    <xf numFmtId="168" fontId="32" fillId="18" borderId="0" xfId="0" applyNumberFormat="1" applyFont="1" applyFill="1" applyAlignment="1">
      <alignment horizontal="center" wrapText="1"/>
    </xf>
    <xf numFmtId="3" fontId="15" fillId="0" borderId="0" xfId="0" applyNumberFormat="1" applyFont="1" applyAlignment="1">
      <alignment horizontal="center"/>
    </xf>
    <xf numFmtId="3" fontId="14" fillId="0" borderId="2" xfId="0" applyNumberFormat="1" applyFont="1" applyBorder="1" applyAlignment="1">
      <alignment horizontal="center" wrapText="1"/>
    </xf>
    <xf numFmtId="3" fontId="14" fillId="0" borderId="3" xfId="0" applyNumberFormat="1" applyFont="1" applyBorder="1" applyAlignment="1">
      <alignment horizontal="center" wrapText="1"/>
    </xf>
    <xf numFmtId="0" fontId="0" fillId="0" borderId="2" xfId="0" applyBorder="1" applyAlignment="1">
      <alignment horizontal="center"/>
    </xf>
    <xf numFmtId="0" fontId="15" fillId="0" borderId="0" xfId="0" applyFont="1" applyAlignment="1">
      <alignment wrapText="1"/>
    </xf>
    <xf numFmtId="3" fontId="0" fillId="20" borderId="6" xfId="0" applyNumberFormat="1" applyFill="1" applyBorder="1" applyAlignment="1">
      <alignment horizontal="center"/>
    </xf>
    <xf numFmtId="0" fontId="32" fillId="19" borderId="0" xfId="0" applyFont="1" applyFill="1"/>
    <xf numFmtId="3" fontId="15" fillId="0" borderId="0" xfId="0" applyNumberFormat="1" applyFont="1" applyAlignment="1">
      <alignment vertical="center"/>
    </xf>
    <xf numFmtId="0" fontId="15" fillId="0" borderId="0" xfId="0" applyFont="1" applyAlignment="1">
      <alignment vertical="center"/>
    </xf>
    <xf numFmtId="9" fontId="0" fillId="0" borderId="0" xfId="0" applyNumberFormat="1" applyAlignment="1" applyProtection="1">
      <alignment horizontal="center"/>
      <protection locked="0"/>
    </xf>
    <xf numFmtId="169" fontId="0" fillId="5" borderId="0" xfId="1" applyNumberFormat="1" applyFont="1" applyFill="1" applyBorder="1" applyAlignment="1" applyProtection="1">
      <alignment horizontal="right"/>
    </xf>
    <xf numFmtId="0" fontId="19" fillId="14" borderId="0" xfId="0" applyFont="1" applyFill="1" applyAlignment="1">
      <alignment horizontal="center" wrapText="1"/>
    </xf>
    <xf numFmtId="166" fontId="0" fillId="0" borderId="0" xfId="0" applyNumberFormat="1" applyAlignment="1">
      <alignment horizontal="right"/>
    </xf>
    <xf numFmtId="166" fontId="0" fillId="0" borderId="0" xfId="1" applyNumberFormat="1" applyFont="1" applyBorder="1"/>
    <xf numFmtId="166" fontId="0" fillId="0" borderId="3" xfId="1" applyNumberFormat="1" applyFont="1" applyBorder="1"/>
    <xf numFmtId="0" fontId="36" fillId="0" borderId="0" xfId="0" applyFont="1" applyAlignment="1">
      <alignment horizontal="right" vertical="top" wrapText="1"/>
    </xf>
    <xf numFmtId="0" fontId="19" fillId="14" borderId="9" xfId="0" applyFont="1" applyFill="1" applyBorder="1" applyAlignment="1">
      <alignment horizontal="right" wrapText="1"/>
    </xf>
    <xf numFmtId="0" fontId="19" fillId="14" borderId="7" xfId="0" applyFont="1" applyFill="1" applyBorder="1" applyAlignment="1">
      <alignment horizontal="right" wrapText="1"/>
    </xf>
    <xf numFmtId="0" fontId="19" fillId="14" borderId="8" xfId="0" applyFont="1" applyFill="1" applyBorder="1" applyAlignment="1">
      <alignment horizontal="right" wrapText="1"/>
    </xf>
    <xf numFmtId="166" fontId="3" fillId="0" borderId="0" xfId="1" applyNumberFormat="1" applyFont="1" applyBorder="1"/>
    <xf numFmtId="176" fontId="0" fillId="11" borderId="0" xfId="0" applyNumberFormat="1" applyFill="1" applyAlignment="1" applyProtection="1">
      <alignment horizontal="center"/>
      <protection locked="0"/>
    </xf>
    <xf numFmtId="0" fontId="36" fillId="0" borderId="0" xfId="0" applyFont="1"/>
    <xf numFmtId="0" fontId="36" fillId="0" borderId="0" xfId="0" applyFont="1" applyAlignment="1">
      <alignment wrapText="1"/>
    </xf>
    <xf numFmtId="0" fontId="12" fillId="0" borderId="0" xfId="0" applyFont="1" applyAlignment="1">
      <alignment wrapText="1"/>
    </xf>
    <xf numFmtId="1" fontId="12" fillId="0" borderId="0" xfId="0" applyNumberFormat="1" applyFont="1" applyAlignment="1">
      <alignment horizontal="center" wrapText="1"/>
    </xf>
    <xf numFmtId="0" fontId="12" fillId="0" borderId="0" xfId="0" applyFont="1" applyAlignment="1">
      <alignment horizontal="center" wrapText="1"/>
    </xf>
    <xf numFmtId="170" fontId="12" fillId="0" borderId="0" xfId="1" applyNumberFormat="1" applyFont="1" applyFill="1" applyBorder="1" applyAlignment="1">
      <alignment horizontal="right"/>
    </xf>
    <xf numFmtId="170" fontId="10" fillId="0" borderId="0" xfId="1" applyNumberFormat="1" applyFont="1" applyFill="1" applyBorder="1" applyAlignment="1">
      <alignment horizontal="right"/>
    </xf>
    <xf numFmtId="170" fontId="10" fillId="0" borderId="0" xfId="1" applyNumberFormat="1" applyFont="1" applyFill="1" applyBorder="1"/>
    <xf numFmtId="170" fontId="10" fillId="9" borderId="0" xfId="0" applyNumberFormat="1" applyFont="1" applyFill="1"/>
    <xf numFmtId="170" fontId="10" fillId="22" borderId="0" xfId="0" applyNumberFormat="1" applyFont="1" applyFill="1"/>
    <xf numFmtId="170" fontId="10" fillId="12" borderId="0" xfId="0" applyNumberFormat="1" applyFont="1" applyFill="1"/>
    <xf numFmtId="170" fontId="44" fillId="0" borderId="0" xfId="1" applyNumberFormat="1" applyFont="1" applyFill="1" applyBorder="1" applyAlignment="1">
      <alignment horizontal="right"/>
    </xf>
    <xf numFmtId="170" fontId="44" fillId="0" borderId="0" xfId="1" applyNumberFormat="1" applyFont="1" applyFill="1" applyBorder="1"/>
    <xf numFmtId="0" fontId="12" fillId="0" borderId="0" xfId="0" applyFont="1"/>
    <xf numFmtId="170" fontId="12" fillId="0" borderId="0" xfId="1" applyNumberFormat="1" applyFont="1" applyFill="1" applyBorder="1"/>
    <xf numFmtId="169" fontId="10" fillId="0" borderId="0" xfId="1" applyNumberFormat="1" applyFont="1" applyFill="1" applyBorder="1"/>
    <xf numFmtId="170" fontId="10" fillId="0" borderId="0" xfId="1" applyNumberFormat="1" applyFont="1"/>
    <xf numFmtId="0" fontId="21" fillId="0" borderId="0" xfId="0" applyFont="1"/>
    <xf numFmtId="0" fontId="12" fillId="9" borderId="0" xfId="0" applyFont="1" applyFill="1" applyAlignment="1">
      <alignment horizontal="center" wrapText="1"/>
    </xf>
    <xf numFmtId="0" fontId="12" fillId="22" borderId="0" xfId="0" applyFont="1" applyFill="1" applyAlignment="1">
      <alignment horizontal="center" wrapText="1"/>
    </xf>
    <xf numFmtId="0" fontId="12" fillId="12" borderId="0" xfId="0" applyFont="1" applyFill="1" applyAlignment="1">
      <alignment horizontal="center" wrapText="1"/>
    </xf>
    <xf numFmtId="0" fontId="10" fillId="0" borderId="0" xfId="0" applyFont="1" applyAlignment="1">
      <alignment horizontal="center"/>
    </xf>
    <xf numFmtId="9" fontId="10" fillId="0" borderId="0" xfId="2" applyFont="1" applyFill="1" applyBorder="1" applyAlignment="1">
      <alignment horizontal="center"/>
    </xf>
    <xf numFmtId="3" fontId="10" fillId="0" borderId="0" xfId="1" applyNumberFormat="1" applyFont="1" applyFill="1" applyBorder="1"/>
    <xf numFmtId="0" fontId="5" fillId="0" borderId="0" xfId="3" applyAlignment="1" applyProtection="1"/>
    <xf numFmtId="172" fontId="0" fillId="0" borderId="0" xfId="0" applyNumberFormat="1"/>
    <xf numFmtId="9" fontId="10" fillId="0" borderId="0" xfId="2" applyFont="1" applyFill="1" applyBorder="1"/>
    <xf numFmtId="0" fontId="0" fillId="0" borderId="0" xfId="0" applyAlignment="1">
      <alignment wrapText="1"/>
    </xf>
    <xf numFmtId="0" fontId="4" fillId="2" borderId="0" xfId="0" applyFont="1" applyFill="1" applyAlignment="1">
      <alignment horizontal="left" wrapText="1"/>
    </xf>
    <xf numFmtId="0" fontId="3" fillId="0" borderId="0" xfId="0" applyFont="1" applyAlignment="1">
      <alignment horizontal="center" wrapText="1"/>
    </xf>
    <xf numFmtId="0" fontId="0" fillId="0" borderId="0" xfId="0" applyAlignment="1" applyProtection="1">
      <alignment wrapText="1"/>
      <protection locked="0"/>
    </xf>
    <xf numFmtId="0" fontId="0" fillId="0" borderId="0" xfId="0" applyAlignment="1">
      <alignment horizontal="center" wrapText="1"/>
    </xf>
    <xf numFmtId="0" fontId="25" fillId="2" borderId="0" xfId="0" applyFont="1" applyFill="1" applyAlignment="1">
      <alignment horizontal="left" wrapText="1"/>
    </xf>
    <xf numFmtId="0" fontId="40" fillId="2" borderId="0" xfId="0" applyFont="1" applyFill="1" applyAlignment="1">
      <alignment horizontal="left" vertical="center" wrapText="1"/>
    </xf>
    <xf numFmtId="168" fontId="27" fillId="5" borderId="11" xfId="0" applyNumberFormat="1" applyFont="1" applyFill="1" applyBorder="1" applyAlignment="1">
      <alignment horizontal="center" vertical="center" wrapText="1"/>
    </xf>
    <xf numFmtId="168" fontId="27" fillId="5" borderId="0" xfId="0" applyNumberFormat="1" applyFont="1" applyFill="1" applyAlignment="1">
      <alignment horizontal="center" vertical="center" wrapText="1"/>
    </xf>
    <xf numFmtId="168" fontId="27" fillId="6" borderId="16" xfId="0" applyNumberFormat="1" applyFont="1" applyFill="1" applyBorder="1" applyAlignment="1">
      <alignment horizontal="center" vertical="center" wrapText="1"/>
    </xf>
    <xf numFmtId="0" fontId="25" fillId="4" borderId="0" xfId="0" applyFont="1" applyFill="1" applyAlignment="1">
      <alignment horizontal="left" wrapText="1"/>
    </xf>
    <xf numFmtId="169" fontId="0" fillId="0" borderId="0" xfId="1" applyNumberFormat="1" applyFont="1" applyFill="1" applyBorder="1" applyAlignment="1" applyProtection="1">
      <alignment horizontal="center" wrapText="1"/>
    </xf>
    <xf numFmtId="169" fontId="0" fillId="5" borderId="0" xfId="1" applyNumberFormat="1" applyFont="1" applyFill="1" applyBorder="1" applyAlignment="1" applyProtection="1">
      <alignment horizontal="center" wrapText="1"/>
    </xf>
    <xf numFmtId="170" fontId="0" fillId="0" borderId="0" xfId="1" applyNumberFormat="1" applyFont="1" applyFill="1" applyBorder="1" applyAlignment="1" applyProtection="1">
      <alignment wrapText="1"/>
    </xf>
    <xf numFmtId="169" fontId="0" fillId="0" borderId="0" xfId="0" applyNumberFormat="1" applyAlignment="1">
      <alignment wrapText="1"/>
    </xf>
    <xf numFmtId="169" fontId="0" fillId="6" borderId="0" xfId="1" applyNumberFormat="1" applyFont="1" applyFill="1" applyBorder="1" applyAlignment="1" applyProtection="1">
      <alignment horizontal="center" vertical="center" wrapText="1"/>
    </xf>
    <xf numFmtId="0" fontId="0" fillId="0" borderId="0" xfId="0" applyAlignment="1">
      <alignment horizontal="right" vertical="top" wrapText="1"/>
    </xf>
    <xf numFmtId="0" fontId="0" fillId="2" borderId="0" xfId="0" applyFill="1" applyAlignment="1">
      <alignment wrapText="1"/>
    </xf>
    <xf numFmtId="9" fontId="45" fillId="0" borderId="0" xfId="2" applyFont="1" applyAlignment="1" applyProtection="1">
      <alignment horizontal="center" wrapText="1"/>
    </xf>
    <xf numFmtId="0" fontId="0" fillId="0" borderId="0" xfId="0" applyAlignment="1" applyProtection="1">
      <alignment horizontal="center" wrapText="1"/>
      <protection locked="0"/>
    </xf>
    <xf numFmtId="169" fontId="0" fillId="0" borderId="0" xfId="1" applyNumberFormat="1" applyFont="1" applyAlignment="1" applyProtection="1">
      <alignment wrapText="1"/>
    </xf>
    <xf numFmtId="0" fontId="38" fillId="4" borderId="0" xfId="0" applyFont="1" applyFill="1" applyAlignment="1">
      <alignment horizontal="left" wrapText="1"/>
    </xf>
    <xf numFmtId="169" fontId="0" fillId="5" borderId="0" xfId="1" applyNumberFormat="1" applyFont="1" applyFill="1" applyBorder="1" applyAlignment="1" applyProtection="1">
      <alignment wrapText="1"/>
    </xf>
    <xf numFmtId="169" fontId="0" fillId="5" borderId="0" xfId="1" applyNumberFormat="1" applyFont="1" applyFill="1" applyBorder="1" applyAlignment="1" applyProtection="1">
      <alignment horizontal="right" wrapText="1"/>
    </xf>
    <xf numFmtId="43" fontId="0" fillId="5" borderId="0" xfId="1" applyFont="1" applyFill="1" applyBorder="1" applyAlignment="1" applyProtection="1">
      <alignment wrapText="1"/>
    </xf>
    <xf numFmtId="171" fontId="0" fillId="5" borderId="0" xfId="1" applyNumberFormat="1" applyFont="1" applyFill="1" applyBorder="1" applyAlignment="1" applyProtection="1">
      <alignment wrapText="1"/>
    </xf>
    <xf numFmtId="178" fontId="0" fillId="5" borderId="0" xfId="1" applyNumberFormat="1" applyFont="1" applyFill="1" applyBorder="1" applyAlignment="1" applyProtection="1">
      <alignment horizontal="center" wrapText="1"/>
    </xf>
    <xf numFmtId="179" fontId="0" fillId="0" borderId="0" xfId="0" applyNumberFormat="1" applyAlignment="1">
      <alignment horizontal="center"/>
    </xf>
    <xf numFmtId="180" fontId="17" fillId="0" borderId="0" xfId="0" applyNumberFormat="1" applyFont="1"/>
    <xf numFmtId="0" fontId="0" fillId="8" borderId="18" xfId="0" applyFill="1" applyBorder="1" applyAlignment="1" applyProtection="1">
      <alignment horizontal="center" wrapText="1"/>
      <protection locked="0"/>
    </xf>
    <xf numFmtId="170" fontId="0" fillId="8" borderId="18" xfId="1" applyNumberFormat="1" applyFont="1" applyFill="1" applyBorder="1" applyAlignment="1" applyProtection="1">
      <alignment horizontal="center" wrapText="1"/>
      <protection locked="0"/>
    </xf>
    <xf numFmtId="170" fontId="0" fillId="10" borderId="18" xfId="1" applyNumberFormat="1" applyFont="1" applyFill="1" applyBorder="1" applyAlignment="1" applyProtection="1">
      <alignment horizontal="center" wrapText="1"/>
    </xf>
    <xf numFmtId="0" fontId="0" fillId="8" borderId="18" xfId="0" applyFill="1" applyBorder="1" applyAlignment="1">
      <alignment wrapText="1"/>
    </xf>
    <xf numFmtId="14" fontId="0" fillId="8" borderId="18" xfId="0" applyNumberFormat="1" applyFill="1" applyBorder="1" applyAlignment="1" applyProtection="1">
      <alignment horizontal="center" wrapText="1"/>
      <protection locked="0"/>
    </xf>
    <xf numFmtId="0" fontId="26" fillId="0" borderId="0" xfId="0" applyFont="1"/>
    <xf numFmtId="177" fontId="15" fillId="0" borderId="0" xfId="0" applyNumberFormat="1" applyFont="1" applyAlignment="1">
      <alignment horizontal="right"/>
    </xf>
    <xf numFmtId="177" fontId="0" fillId="0" borderId="0" xfId="0" applyNumberFormat="1" applyAlignment="1">
      <alignment horizontal="right"/>
    </xf>
    <xf numFmtId="177" fontId="15" fillId="0" borderId="0" xfId="5" applyNumberFormat="1" applyFont="1" applyFill="1" applyBorder="1" applyAlignment="1">
      <alignment horizontal="right"/>
    </xf>
    <xf numFmtId="0" fontId="15" fillId="0" borderId="0" xfId="0" applyFont="1" applyAlignment="1">
      <alignment horizontal="left"/>
    </xf>
    <xf numFmtId="177" fontId="0" fillId="0" borderId="0" xfId="0" applyNumberFormat="1"/>
    <xf numFmtId="177" fontId="15" fillId="0" borderId="0" xfId="0" applyNumberFormat="1" applyFont="1"/>
    <xf numFmtId="177" fontId="15" fillId="0" borderId="0" xfId="5" applyNumberFormat="1" applyFont="1" applyFill="1" applyBorder="1" applyAlignment="1">
      <alignment horizontal="center"/>
    </xf>
    <xf numFmtId="0" fontId="0" fillId="26" borderId="0" xfId="0" applyFill="1"/>
    <xf numFmtId="43" fontId="0" fillId="0" borderId="0" xfId="1" applyFont="1"/>
    <xf numFmtId="43" fontId="0" fillId="26" borderId="0" xfId="1" applyFont="1" applyFill="1"/>
    <xf numFmtId="0" fontId="53" fillId="0" borderId="0" xfId="0" applyFont="1" applyAlignment="1">
      <alignment wrapText="1"/>
    </xf>
    <xf numFmtId="43" fontId="1" fillId="0" borderId="0" xfId="1" applyFont="1"/>
    <xf numFmtId="43" fontId="0" fillId="0" borderId="3" xfId="1" applyFont="1" applyBorder="1"/>
    <xf numFmtId="43" fontId="0" fillId="26" borderId="3" xfId="1" applyFont="1" applyFill="1" applyBorder="1"/>
    <xf numFmtId="181" fontId="17" fillId="0" borderId="0" xfId="0" applyNumberFormat="1" applyFont="1" applyAlignment="1">
      <alignment horizontal="center"/>
    </xf>
    <xf numFmtId="4" fontId="10" fillId="0" borderId="0" xfId="1" applyNumberFormat="1" applyFont="1" applyFill="1" applyBorder="1"/>
    <xf numFmtId="170" fontId="21" fillId="0" borderId="0" xfId="1" applyNumberFormat="1" applyFont="1" applyFill="1" applyBorder="1"/>
    <xf numFmtId="1" fontId="12" fillId="25" borderId="0" xfId="0" applyNumberFormat="1" applyFont="1" applyFill="1" applyAlignment="1">
      <alignment horizontal="center" wrapText="1"/>
    </xf>
    <xf numFmtId="170" fontId="10" fillId="25" borderId="0" xfId="1" applyNumberFormat="1" applyFont="1" applyFill="1" applyBorder="1" applyAlignment="1"/>
    <xf numFmtId="178" fontId="3" fillId="6" borderId="0" xfId="1" applyNumberFormat="1" applyFont="1" applyFill="1" applyBorder="1" applyAlignment="1" applyProtection="1">
      <alignment horizontal="center"/>
    </xf>
    <xf numFmtId="178" fontId="0" fillId="5" borderId="0" xfId="1" applyNumberFormat="1" applyFont="1" applyFill="1" applyBorder="1" applyAlignment="1" applyProtection="1">
      <alignment horizontal="center"/>
    </xf>
    <xf numFmtId="178" fontId="3" fillId="6" borderId="0" xfId="1" applyNumberFormat="1" applyFont="1" applyFill="1" applyBorder="1" applyAlignment="1" applyProtection="1">
      <alignment horizontal="center" wrapText="1"/>
    </xf>
    <xf numFmtId="0" fontId="10" fillId="9" borderId="0" xfId="0" applyFont="1" applyFill="1" applyAlignment="1">
      <alignment horizontal="left" wrapText="1" indent="1"/>
    </xf>
    <xf numFmtId="0" fontId="5" fillId="9" borderId="0" xfId="3" applyFill="1" applyAlignment="1" applyProtection="1">
      <alignment vertical="center"/>
    </xf>
    <xf numFmtId="0" fontId="5" fillId="4" borderId="0" xfId="3" applyFill="1" applyAlignment="1" applyProtection="1">
      <alignment wrapText="1"/>
    </xf>
    <xf numFmtId="0" fontId="12" fillId="4" borderId="0" xfId="0" applyFont="1" applyFill="1" applyAlignment="1">
      <alignment wrapText="1"/>
    </xf>
    <xf numFmtId="0" fontId="0" fillId="25" borderId="0" xfId="0" applyFill="1" applyAlignment="1">
      <alignment wrapText="1"/>
    </xf>
    <xf numFmtId="0" fontId="3" fillId="25" borderId="0" xfId="0" applyFont="1" applyFill="1" applyAlignment="1">
      <alignment horizontal="left" wrapText="1" indent="1"/>
    </xf>
    <xf numFmtId="0" fontId="0" fillId="25" borderId="0" xfId="0" applyFill="1" applyAlignment="1">
      <alignment horizontal="left" wrapText="1"/>
    </xf>
    <xf numFmtId="164" fontId="21" fillId="0" borderId="0" xfId="0" applyNumberFormat="1" applyFont="1"/>
    <xf numFmtId="0" fontId="37" fillId="25" borderId="0" xfId="0" applyFont="1" applyFill="1" applyAlignment="1">
      <alignment horizontal="left" wrapText="1"/>
    </xf>
    <xf numFmtId="0" fontId="37" fillId="25" borderId="0" xfId="0" applyFont="1" applyFill="1" applyAlignment="1">
      <alignment wrapText="1"/>
    </xf>
    <xf numFmtId="43" fontId="17" fillId="0" borderId="0" xfId="1" applyFont="1" applyFill="1" applyBorder="1"/>
    <xf numFmtId="11" fontId="17" fillId="0" borderId="0" xfId="0" applyNumberFormat="1" applyFont="1"/>
    <xf numFmtId="0" fontId="54" fillId="25" borderId="0" xfId="0" applyFont="1" applyFill="1"/>
    <xf numFmtId="0" fontId="16" fillId="4" borderId="0" xfId="0" applyFont="1" applyFill="1" applyAlignment="1">
      <alignment horizontal="center" vertical="center"/>
    </xf>
    <xf numFmtId="44" fontId="0" fillId="0" borderId="0" xfId="5" applyFont="1"/>
    <xf numFmtId="0" fontId="5" fillId="0" borderId="0" xfId="3" applyAlignment="1" applyProtection="1">
      <alignment wrapText="1"/>
    </xf>
    <xf numFmtId="0" fontId="5" fillId="0" borderId="0" xfId="3" applyFill="1" applyAlignment="1" applyProtection="1">
      <alignment wrapText="1"/>
    </xf>
    <xf numFmtId="0" fontId="5" fillId="0" borderId="0" xfId="3" applyFill="1" applyBorder="1" applyAlignment="1" applyProtection="1">
      <alignment wrapText="1"/>
    </xf>
    <xf numFmtId="0" fontId="5" fillId="9" borderId="0" xfId="3" applyFill="1" applyAlignment="1" applyProtection="1">
      <alignment horizontal="left" wrapText="1" indent="1"/>
    </xf>
    <xf numFmtId="0" fontId="13" fillId="4" borderId="0" xfId="0" applyFont="1" applyFill="1" applyAlignment="1">
      <alignment horizontal="left" vertical="center"/>
    </xf>
    <xf numFmtId="0" fontId="0" fillId="0" borderId="0" xfId="0" applyAlignment="1">
      <alignment horizontal="left" vertical="top" wrapText="1"/>
    </xf>
    <xf numFmtId="170" fontId="0" fillId="8" borderId="19" xfId="1" applyNumberFormat="1" applyFont="1" applyFill="1" applyBorder="1" applyAlignment="1" applyProtection="1">
      <alignment horizontal="left" vertical="top" wrapText="1"/>
      <protection locked="0"/>
    </xf>
    <xf numFmtId="170" fontId="0" fillId="8" borderId="20" xfId="1" applyNumberFormat="1" applyFont="1" applyFill="1" applyBorder="1" applyAlignment="1" applyProtection="1">
      <alignment horizontal="left" vertical="top" wrapText="1"/>
      <protection locked="0"/>
    </xf>
    <xf numFmtId="170" fontId="0" fillId="8" borderId="21" xfId="1" applyNumberFormat="1" applyFont="1" applyFill="1" applyBorder="1" applyAlignment="1" applyProtection="1">
      <alignment horizontal="left" vertical="top" wrapText="1"/>
      <protection locked="0"/>
    </xf>
    <xf numFmtId="170" fontId="0" fillId="8" borderId="22" xfId="1" applyNumberFormat="1" applyFont="1" applyFill="1" applyBorder="1" applyAlignment="1" applyProtection="1">
      <alignment horizontal="left" vertical="top" wrapText="1"/>
      <protection locked="0"/>
    </xf>
    <xf numFmtId="170" fontId="0" fillId="8" borderId="0" xfId="1" applyNumberFormat="1" applyFont="1" applyFill="1" applyBorder="1" applyAlignment="1" applyProtection="1">
      <alignment horizontal="left" vertical="top" wrapText="1"/>
      <protection locked="0"/>
    </xf>
    <xf numFmtId="170" fontId="0" fillId="8" borderId="23" xfId="1" applyNumberFormat="1" applyFont="1" applyFill="1" applyBorder="1" applyAlignment="1" applyProtection="1">
      <alignment horizontal="left" vertical="top" wrapText="1"/>
      <protection locked="0"/>
    </xf>
    <xf numFmtId="170" fontId="0" fillId="8" borderId="24" xfId="1" applyNumberFormat="1" applyFont="1" applyFill="1" applyBorder="1" applyAlignment="1" applyProtection="1">
      <alignment horizontal="left" vertical="top" wrapText="1"/>
      <protection locked="0"/>
    </xf>
    <xf numFmtId="170" fontId="0" fillId="8" borderId="25" xfId="1" applyNumberFormat="1" applyFont="1" applyFill="1" applyBorder="1" applyAlignment="1" applyProtection="1">
      <alignment horizontal="left" vertical="top" wrapText="1"/>
      <protection locked="0"/>
    </xf>
    <xf numFmtId="170" fontId="0" fillId="8" borderId="26" xfId="1" applyNumberFormat="1" applyFont="1" applyFill="1" applyBorder="1" applyAlignment="1" applyProtection="1">
      <alignment horizontal="left" vertical="top" wrapText="1"/>
      <protection locked="0"/>
    </xf>
    <xf numFmtId="170" fontId="0" fillId="8" borderId="19" xfId="1" applyNumberFormat="1" applyFont="1" applyFill="1" applyBorder="1" applyAlignment="1" applyProtection="1">
      <alignment horizontal="left" wrapText="1"/>
      <protection locked="0"/>
    </xf>
    <xf numFmtId="170" fontId="0" fillId="8" borderId="20" xfId="1" applyNumberFormat="1" applyFont="1" applyFill="1" applyBorder="1" applyAlignment="1" applyProtection="1">
      <alignment horizontal="left" wrapText="1"/>
      <protection locked="0"/>
    </xf>
    <xf numFmtId="170" fontId="0" fillId="8" borderId="21" xfId="1" applyNumberFormat="1" applyFont="1" applyFill="1" applyBorder="1" applyAlignment="1" applyProtection="1">
      <alignment horizontal="left" wrapText="1"/>
      <protection locked="0"/>
    </xf>
    <xf numFmtId="170" fontId="0" fillId="8" borderId="22" xfId="1" applyNumberFormat="1" applyFont="1" applyFill="1" applyBorder="1" applyAlignment="1" applyProtection="1">
      <alignment horizontal="left" wrapText="1"/>
      <protection locked="0"/>
    </xf>
    <xf numFmtId="170" fontId="0" fillId="8" borderId="0" xfId="1" applyNumberFormat="1" applyFont="1" applyFill="1" applyBorder="1" applyAlignment="1" applyProtection="1">
      <alignment horizontal="left" wrapText="1"/>
      <protection locked="0"/>
    </xf>
    <xf numFmtId="170" fontId="0" fillId="8" borderId="23" xfId="1" applyNumberFormat="1" applyFont="1" applyFill="1" applyBorder="1" applyAlignment="1" applyProtection="1">
      <alignment horizontal="left" wrapText="1"/>
      <protection locked="0"/>
    </xf>
    <xf numFmtId="170" fontId="0" fillId="8" borderId="24" xfId="1" applyNumberFormat="1" applyFont="1" applyFill="1" applyBorder="1" applyAlignment="1" applyProtection="1">
      <alignment horizontal="left" wrapText="1"/>
      <protection locked="0"/>
    </xf>
    <xf numFmtId="170" fontId="0" fillId="8" borderId="25" xfId="1" applyNumberFormat="1" applyFont="1" applyFill="1" applyBorder="1" applyAlignment="1" applyProtection="1">
      <alignment horizontal="left" wrapText="1"/>
      <protection locked="0"/>
    </xf>
    <xf numFmtId="170" fontId="0" fillId="8" borderId="26" xfId="1" applyNumberFormat="1" applyFont="1" applyFill="1" applyBorder="1" applyAlignment="1" applyProtection="1">
      <alignment horizontal="left" wrapText="1"/>
      <protection locked="0"/>
    </xf>
    <xf numFmtId="0" fontId="36" fillId="0" borderId="0" xfId="0" applyFont="1" applyAlignment="1">
      <alignment horizontal="right" vertical="top" wrapText="1"/>
    </xf>
    <xf numFmtId="170" fontId="0" fillId="8" borderId="19" xfId="1" applyNumberFormat="1" applyFont="1" applyFill="1" applyBorder="1" applyAlignment="1" applyProtection="1">
      <alignment horizontal="center" wrapText="1"/>
      <protection locked="0"/>
    </xf>
    <xf numFmtId="170" fontId="0" fillId="8" borderId="20" xfId="1" applyNumberFormat="1" applyFont="1" applyFill="1" applyBorder="1" applyAlignment="1" applyProtection="1">
      <alignment horizontal="center" wrapText="1"/>
      <protection locked="0"/>
    </xf>
    <xf numFmtId="170" fontId="0" fillId="8" borderId="21" xfId="1" applyNumberFormat="1" applyFont="1" applyFill="1" applyBorder="1" applyAlignment="1" applyProtection="1">
      <alignment horizontal="center" wrapText="1"/>
      <protection locked="0"/>
    </xf>
    <xf numFmtId="170" fontId="0" fillId="8" borderId="24" xfId="1" applyNumberFormat="1" applyFont="1" applyFill="1" applyBorder="1" applyAlignment="1" applyProtection="1">
      <alignment horizontal="center" wrapText="1"/>
      <protection locked="0"/>
    </xf>
    <xf numFmtId="170" fontId="0" fillId="8" borderId="25" xfId="1" applyNumberFormat="1" applyFont="1" applyFill="1" applyBorder="1" applyAlignment="1" applyProtection="1">
      <alignment horizontal="center" wrapText="1"/>
      <protection locked="0"/>
    </xf>
    <xf numFmtId="170" fontId="0" fillId="8" borderId="26" xfId="1" applyNumberFormat="1" applyFont="1" applyFill="1" applyBorder="1" applyAlignment="1" applyProtection="1">
      <alignment horizontal="center" wrapText="1"/>
      <protection locked="0"/>
    </xf>
    <xf numFmtId="170" fontId="52" fillId="8" borderId="19" xfId="1" applyNumberFormat="1" applyFont="1" applyFill="1" applyBorder="1" applyAlignment="1" applyProtection="1">
      <alignment horizontal="left" vertical="top" wrapText="1"/>
      <protection locked="0"/>
    </xf>
    <xf numFmtId="170" fontId="0" fillId="8" borderId="27" xfId="1" applyNumberFormat="1" applyFont="1" applyFill="1" applyBorder="1" applyAlignment="1" applyProtection="1">
      <alignment horizontal="left" wrapText="1"/>
      <protection locked="0"/>
    </xf>
    <xf numFmtId="170" fontId="0" fillId="8" borderId="28" xfId="1" applyNumberFormat="1" applyFont="1" applyFill="1" applyBorder="1" applyAlignment="1" applyProtection="1">
      <alignment horizontal="left" wrapText="1"/>
      <protection locked="0"/>
    </xf>
    <xf numFmtId="170" fontId="0" fillId="8" borderId="29" xfId="1" applyNumberFormat="1" applyFont="1" applyFill="1" applyBorder="1" applyAlignment="1" applyProtection="1">
      <alignment horizontal="left" wrapText="1"/>
      <protection locked="0"/>
    </xf>
    <xf numFmtId="0" fontId="26" fillId="4" borderId="0" xfId="0" applyFont="1" applyFill="1" applyAlignment="1">
      <alignment horizontal="left" vertical="top" wrapText="1"/>
    </xf>
    <xf numFmtId="0" fontId="19" fillId="13" borderId="0" xfId="0" applyFont="1" applyFill="1" applyAlignment="1">
      <alignment horizontal="left"/>
    </xf>
    <xf numFmtId="3" fontId="14" fillId="0" borderId="1" xfId="0" applyNumberFormat="1" applyFont="1" applyBorder="1" applyAlignment="1">
      <alignment horizontal="center" wrapText="1"/>
    </xf>
    <xf numFmtId="0" fontId="0" fillId="0" borderId="1" xfId="0" applyBorder="1" applyAlignment="1">
      <alignment horizontal="center" wrapText="1"/>
    </xf>
    <xf numFmtId="0" fontId="26" fillId="0" borderId="0" xfId="0" applyFont="1" applyAlignment="1">
      <alignment horizontal="left" wrapText="1"/>
    </xf>
    <xf numFmtId="0" fontId="0" fillId="0" borderId="0" xfId="0" applyAlignment="1">
      <alignment horizontal="left" indent="2"/>
    </xf>
    <xf numFmtId="0" fontId="0" fillId="0" borderId="0" xfId="0" applyAlignment="1">
      <alignment horizontal="left" wrapText="1" indent="3"/>
    </xf>
    <xf numFmtId="0" fontId="38" fillId="0" borderId="0" xfId="0" applyFont="1" applyAlignment="1">
      <alignment horizontal="left"/>
    </xf>
  </cellXfs>
  <cellStyles count="6">
    <cellStyle name="Comma" xfId="1" builtinId="3"/>
    <cellStyle name="Currency" xfId="5" builtinId="4"/>
    <cellStyle name="Hyperlink" xfId="3" builtinId="8"/>
    <cellStyle name="Normal" xfId="0" builtinId="0"/>
    <cellStyle name="Normal_5 - Reference Data" xfId="4" xr:uid="{00000000-0005-0000-0000-000004000000}"/>
    <cellStyle name="Percent" xfId="2" builtinId="5"/>
  </cellStyles>
  <dxfs count="5">
    <dxf>
      <font>
        <b val="0"/>
        <i val="0"/>
        <strike val="0"/>
        <condense val="0"/>
        <extend val="0"/>
        <outline val="0"/>
        <shadow val="0"/>
        <u val="none"/>
        <vertAlign val="baseline"/>
        <sz val="11"/>
        <color theme="1"/>
        <name val="Calibri"/>
        <family val="2"/>
        <scheme val="minor"/>
      </font>
      <numFmt numFmtId="35" formatCode="_(* #,##0.00_);_(* \(#,##0.00\);_(* &quot;-&quot;??_);_(@_)"/>
    </dxf>
    <dxf>
      <font>
        <b val="0"/>
        <i val="0"/>
        <strike val="0"/>
        <condense val="0"/>
        <extend val="0"/>
        <outline val="0"/>
        <shadow val="0"/>
        <u val="none"/>
        <vertAlign val="baseline"/>
        <sz val="11"/>
        <color theme="1"/>
        <name val="Calibri"/>
        <family val="2"/>
        <scheme val="minor"/>
      </font>
    </dxf>
    <dxf>
      <border diagonalUp="0" diagonalDown="0">
        <left/>
        <right style="thin">
          <color indexed="64"/>
        </right>
        <top/>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FFCC"/>
      <color rgb="FFCCCCFF"/>
      <color rgb="FFFFFFEB"/>
      <color rgb="FFFF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Project MTCO2e </a:t>
            </a:r>
          </a:p>
        </c:rich>
      </c:tx>
      <c:layout>
        <c:manualLayout>
          <c:xMode val="edge"/>
          <c:yMode val="edge"/>
          <c:x val="0.39174746755651585"/>
          <c:y val="4.1040476250714372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'Emission Reduction Estimates'!$J$25</c:f>
              <c:strCache>
                <c:ptCount val="1"/>
                <c:pt idx="0">
                  <c:v>Baseline annual emissions (before)</c:v>
                </c:pt>
              </c:strCache>
            </c:strRef>
          </c:tx>
          <c:spPr>
            <a:ln w="28575" cap="rnd">
              <a:solidFill>
                <a:schemeClr val="accent1"/>
              </a:solidFill>
              <a:round/>
            </a:ln>
            <a:effectLst/>
          </c:spPr>
          <c:marker>
            <c:symbol val="none"/>
          </c:marker>
          <c:cat>
            <c:numRef>
              <c:f>'Emission Reduction Estimates'!$K$24:$T$24</c:f>
              <c:numCache>
                <c:formatCode>0</c:formatCode>
                <c:ptCount val="10"/>
                <c:pt idx="0">
                  <c:v>2025</c:v>
                </c:pt>
                <c:pt idx="1">
                  <c:v>2026</c:v>
                </c:pt>
                <c:pt idx="2">
                  <c:v>2027</c:v>
                </c:pt>
                <c:pt idx="3">
                  <c:v>2028</c:v>
                </c:pt>
                <c:pt idx="4">
                  <c:v>2029</c:v>
                </c:pt>
                <c:pt idx="5">
                  <c:v>2030</c:v>
                </c:pt>
                <c:pt idx="6">
                  <c:v>2031</c:v>
                </c:pt>
                <c:pt idx="7">
                  <c:v>2032</c:v>
                </c:pt>
                <c:pt idx="8">
                  <c:v>2033</c:v>
                </c:pt>
                <c:pt idx="9">
                  <c:v>2034</c:v>
                </c:pt>
              </c:numCache>
            </c:numRef>
          </c:cat>
          <c:val>
            <c:numRef>
              <c:f>'Emission Reduction Estimates'!$K$25:$T$25</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401F-444C-8A86-631E647A5234}"/>
            </c:ext>
          </c:extLst>
        </c:ser>
        <c:ser>
          <c:idx val="1"/>
          <c:order val="1"/>
          <c:tx>
            <c:strRef>
              <c:f>'Emission Reduction Estimates'!$J$26</c:f>
              <c:strCache>
                <c:ptCount val="1"/>
                <c:pt idx="0">
                  <c:v>New annual emissions level after project (after)</c:v>
                </c:pt>
              </c:strCache>
            </c:strRef>
          </c:tx>
          <c:spPr>
            <a:ln w="28575" cap="rnd">
              <a:solidFill>
                <a:schemeClr val="accent2"/>
              </a:solidFill>
              <a:round/>
            </a:ln>
            <a:effectLst/>
          </c:spPr>
          <c:marker>
            <c:symbol val="none"/>
          </c:marker>
          <c:cat>
            <c:numRef>
              <c:f>'Emission Reduction Estimates'!$K$24:$T$24</c:f>
              <c:numCache>
                <c:formatCode>0</c:formatCode>
                <c:ptCount val="10"/>
                <c:pt idx="0">
                  <c:v>2025</c:v>
                </c:pt>
                <c:pt idx="1">
                  <c:v>2026</c:v>
                </c:pt>
                <c:pt idx="2">
                  <c:v>2027</c:v>
                </c:pt>
                <c:pt idx="3">
                  <c:v>2028</c:v>
                </c:pt>
                <c:pt idx="4">
                  <c:v>2029</c:v>
                </c:pt>
                <c:pt idx="5">
                  <c:v>2030</c:v>
                </c:pt>
                <c:pt idx="6">
                  <c:v>2031</c:v>
                </c:pt>
                <c:pt idx="7">
                  <c:v>2032</c:v>
                </c:pt>
                <c:pt idx="8">
                  <c:v>2033</c:v>
                </c:pt>
                <c:pt idx="9">
                  <c:v>2034</c:v>
                </c:pt>
              </c:numCache>
            </c:numRef>
          </c:cat>
          <c:val>
            <c:numRef>
              <c:f>'Emission Reduction Estimates'!$K$26:$T$26</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401F-444C-8A86-631E647A5234}"/>
            </c:ext>
          </c:extLst>
        </c:ser>
        <c:ser>
          <c:idx val="2"/>
          <c:order val="2"/>
          <c:tx>
            <c:strRef>
              <c:f>'Emission Reduction Estimates'!$J$27</c:f>
              <c:strCache>
                <c:ptCount val="1"/>
                <c:pt idx="0">
                  <c:v>Emissions avoided (cumulative)</c:v>
                </c:pt>
              </c:strCache>
            </c:strRef>
          </c:tx>
          <c:spPr>
            <a:ln w="28575" cap="rnd">
              <a:solidFill>
                <a:schemeClr val="accent3"/>
              </a:solidFill>
              <a:round/>
            </a:ln>
            <a:effectLst/>
          </c:spPr>
          <c:marker>
            <c:symbol val="none"/>
          </c:marker>
          <c:cat>
            <c:numRef>
              <c:f>'Emission Reduction Estimates'!$K$24:$T$24</c:f>
              <c:numCache>
                <c:formatCode>0</c:formatCode>
                <c:ptCount val="10"/>
                <c:pt idx="0">
                  <c:v>2025</c:v>
                </c:pt>
                <c:pt idx="1">
                  <c:v>2026</c:v>
                </c:pt>
                <c:pt idx="2">
                  <c:v>2027</c:v>
                </c:pt>
                <c:pt idx="3">
                  <c:v>2028</c:v>
                </c:pt>
                <c:pt idx="4">
                  <c:v>2029</c:v>
                </c:pt>
                <c:pt idx="5">
                  <c:v>2030</c:v>
                </c:pt>
                <c:pt idx="6">
                  <c:v>2031</c:v>
                </c:pt>
                <c:pt idx="7">
                  <c:v>2032</c:v>
                </c:pt>
                <c:pt idx="8">
                  <c:v>2033</c:v>
                </c:pt>
                <c:pt idx="9">
                  <c:v>2034</c:v>
                </c:pt>
              </c:numCache>
            </c:numRef>
          </c:cat>
          <c:val>
            <c:numRef>
              <c:f>'Emission Reduction Estimates'!$K$27:$T$27</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xmlns:c15="http://schemas.microsoft.com/office/drawing/2012/chart">
            <c:ext xmlns:c16="http://schemas.microsoft.com/office/drawing/2014/chart" uri="{C3380CC4-5D6E-409C-BE32-E72D297353CC}">
              <c16:uniqueId val="{00000002-401F-444C-8A86-631E647A5234}"/>
            </c:ext>
          </c:extLst>
        </c:ser>
        <c:dLbls>
          <c:showLegendKey val="0"/>
          <c:showVal val="0"/>
          <c:showCatName val="0"/>
          <c:showSerName val="0"/>
          <c:showPercent val="0"/>
          <c:showBubbleSize val="0"/>
        </c:dLbls>
        <c:smooth val="0"/>
        <c:axId val="236429736"/>
        <c:axId val="236436296"/>
        <c:extLst/>
      </c:lineChart>
      <c:dateAx>
        <c:axId val="23642973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36436296"/>
        <c:crosses val="autoZero"/>
        <c:auto val="0"/>
        <c:lblOffset val="100"/>
        <c:baseTimeUnit val="days"/>
      </c:dateAx>
      <c:valAx>
        <c:axId val="236436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MTCO2e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36429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Project Cost Savings ($)</a:t>
            </a:r>
          </a:p>
        </c:rich>
      </c:tx>
      <c:layout>
        <c:manualLayout>
          <c:xMode val="edge"/>
          <c:yMode val="edge"/>
          <c:x val="0.38443656736049531"/>
          <c:y val="3.663883210227449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'Emission Reduction Estimates'!$J$51</c:f>
              <c:strCache>
                <c:ptCount val="1"/>
                <c:pt idx="0">
                  <c:v>Baseline cost (before)</c:v>
                </c:pt>
              </c:strCache>
            </c:strRef>
          </c:tx>
          <c:spPr>
            <a:ln w="28575" cap="rnd">
              <a:solidFill>
                <a:schemeClr val="accent1"/>
              </a:solidFill>
              <a:round/>
            </a:ln>
            <a:effectLst/>
          </c:spPr>
          <c:marker>
            <c:symbol val="none"/>
          </c:marker>
          <c:cat>
            <c:numRef>
              <c:f>'Emission Reduction Estimates'!$K$50:$T$50</c:f>
              <c:numCache>
                <c:formatCode>0</c:formatCode>
                <c:ptCount val="10"/>
                <c:pt idx="0">
                  <c:v>2025</c:v>
                </c:pt>
                <c:pt idx="1">
                  <c:v>2026</c:v>
                </c:pt>
                <c:pt idx="2">
                  <c:v>2027</c:v>
                </c:pt>
                <c:pt idx="3">
                  <c:v>2028</c:v>
                </c:pt>
                <c:pt idx="4">
                  <c:v>2029</c:v>
                </c:pt>
                <c:pt idx="5">
                  <c:v>2030</c:v>
                </c:pt>
                <c:pt idx="6">
                  <c:v>2031</c:v>
                </c:pt>
                <c:pt idx="7">
                  <c:v>2032</c:v>
                </c:pt>
                <c:pt idx="8">
                  <c:v>2033</c:v>
                </c:pt>
                <c:pt idx="9">
                  <c:v>2034</c:v>
                </c:pt>
              </c:numCache>
            </c:numRef>
          </c:cat>
          <c:val>
            <c:numRef>
              <c:f>'Emission Reduction Estimates'!$K$51:$T$51</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44E0-4A68-82D4-14CD8CA2EE76}"/>
            </c:ext>
          </c:extLst>
        </c:ser>
        <c:ser>
          <c:idx val="1"/>
          <c:order val="1"/>
          <c:tx>
            <c:strRef>
              <c:f>'Emission Reduction Estimates'!$J$52</c:f>
              <c:strCache>
                <c:ptCount val="1"/>
                <c:pt idx="0">
                  <c:v>New annual cost after project (after)</c:v>
                </c:pt>
              </c:strCache>
            </c:strRef>
          </c:tx>
          <c:spPr>
            <a:ln w="28575" cap="rnd">
              <a:solidFill>
                <a:schemeClr val="accent2"/>
              </a:solidFill>
              <a:round/>
            </a:ln>
            <a:effectLst/>
          </c:spPr>
          <c:marker>
            <c:symbol val="none"/>
          </c:marker>
          <c:cat>
            <c:numRef>
              <c:f>'Emission Reduction Estimates'!$K$50:$T$50</c:f>
              <c:numCache>
                <c:formatCode>0</c:formatCode>
                <c:ptCount val="10"/>
                <c:pt idx="0">
                  <c:v>2025</c:v>
                </c:pt>
                <c:pt idx="1">
                  <c:v>2026</c:v>
                </c:pt>
                <c:pt idx="2">
                  <c:v>2027</c:v>
                </c:pt>
                <c:pt idx="3">
                  <c:v>2028</c:v>
                </c:pt>
                <c:pt idx="4">
                  <c:v>2029</c:v>
                </c:pt>
                <c:pt idx="5">
                  <c:v>2030</c:v>
                </c:pt>
                <c:pt idx="6">
                  <c:v>2031</c:v>
                </c:pt>
                <c:pt idx="7">
                  <c:v>2032</c:v>
                </c:pt>
                <c:pt idx="8">
                  <c:v>2033</c:v>
                </c:pt>
                <c:pt idx="9">
                  <c:v>2034</c:v>
                </c:pt>
              </c:numCache>
            </c:numRef>
          </c:cat>
          <c:val>
            <c:numRef>
              <c:f>'Emission Reduction Estimates'!$K$52:$T$52</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44E0-4A68-82D4-14CD8CA2EE76}"/>
            </c:ext>
          </c:extLst>
        </c:ser>
        <c:ser>
          <c:idx val="2"/>
          <c:order val="2"/>
          <c:tx>
            <c:strRef>
              <c:f>'Emission Reduction Estimates'!$J$53</c:f>
              <c:strCache>
                <c:ptCount val="1"/>
                <c:pt idx="0">
                  <c:v>Cost avoided (cumulative savings)</c:v>
                </c:pt>
              </c:strCache>
            </c:strRef>
          </c:tx>
          <c:spPr>
            <a:ln w="28575" cap="rnd">
              <a:solidFill>
                <a:schemeClr val="accent3"/>
              </a:solidFill>
              <a:round/>
            </a:ln>
            <a:effectLst/>
          </c:spPr>
          <c:marker>
            <c:symbol val="none"/>
          </c:marker>
          <c:cat>
            <c:numRef>
              <c:f>'Emission Reduction Estimates'!$K$50:$T$50</c:f>
              <c:numCache>
                <c:formatCode>0</c:formatCode>
                <c:ptCount val="10"/>
                <c:pt idx="0">
                  <c:v>2025</c:v>
                </c:pt>
                <c:pt idx="1">
                  <c:v>2026</c:v>
                </c:pt>
                <c:pt idx="2">
                  <c:v>2027</c:v>
                </c:pt>
                <c:pt idx="3">
                  <c:v>2028</c:v>
                </c:pt>
                <c:pt idx="4">
                  <c:v>2029</c:v>
                </c:pt>
                <c:pt idx="5">
                  <c:v>2030</c:v>
                </c:pt>
                <c:pt idx="6">
                  <c:v>2031</c:v>
                </c:pt>
                <c:pt idx="7">
                  <c:v>2032</c:v>
                </c:pt>
                <c:pt idx="8">
                  <c:v>2033</c:v>
                </c:pt>
                <c:pt idx="9">
                  <c:v>2034</c:v>
                </c:pt>
              </c:numCache>
            </c:numRef>
          </c:cat>
          <c:val>
            <c:numRef>
              <c:f>'Emission Reduction Estimates'!$K$53:$T$53</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xmlns:c15="http://schemas.microsoft.com/office/drawing/2012/chart">
            <c:ext xmlns:c16="http://schemas.microsoft.com/office/drawing/2014/chart" uri="{C3380CC4-5D6E-409C-BE32-E72D297353CC}">
              <c16:uniqueId val="{00000002-44E0-4A68-82D4-14CD8CA2EE76}"/>
            </c:ext>
          </c:extLst>
        </c:ser>
        <c:dLbls>
          <c:showLegendKey val="0"/>
          <c:showVal val="0"/>
          <c:showCatName val="0"/>
          <c:showSerName val="0"/>
          <c:showPercent val="0"/>
          <c:showBubbleSize val="0"/>
        </c:dLbls>
        <c:smooth val="0"/>
        <c:axId val="236429736"/>
        <c:axId val="236436296"/>
        <c:extLst/>
      </c:lineChart>
      <c:dateAx>
        <c:axId val="236429736"/>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36436296"/>
        <c:crosses val="autoZero"/>
        <c:auto val="0"/>
        <c:lblOffset val="100"/>
        <c:baseTimeUnit val="days"/>
      </c:dateAx>
      <c:valAx>
        <c:axId val="236436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MTCO2e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36429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Project Cost Savings ($)</a:t>
            </a:r>
          </a:p>
        </c:rich>
      </c:tx>
      <c:layout>
        <c:manualLayout>
          <c:xMode val="edge"/>
          <c:yMode val="edge"/>
          <c:x val="0.38443656736049531"/>
          <c:y val="3.663883210227449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'Emission Reduction Estimates'!$J$51</c:f>
              <c:strCache>
                <c:ptCount val="1"/>
                <c:pt idx="0">
                  <c:v>Baseline cost (before)</c:v>
                </c:pt>
              </c:strCache>
            </c:strRef>
          </c:tx>
          <c:spPr>
            <a:ln w="28575" cap="rnd">
              <a:solidFill>
                <a:schemeClr val="accent1"/>
              </a:solidFill>
              <a:round/>
            </a:ln>
            <a:effectLst/>
          </c:spPr>
          <c:marker>
            <c:symbol val="none"/>
          </c:marker>
          <c:cat>
            <c:numLit>
              <c:formatCode>General</c:formatCode>
              <c:ptCount val="10"/>
              <c:pt idx="0">
                <c:v>2024</c:v>
              </c:pt>
              <c:pt idx="1">
                <c:v>2025</c:v>
              </c:pt>
              <c:pt idx="2">
                <c:v>2026</c:v>
              </c:pt>
              <c:pt idx="3">
                <c:v>2027</c:v>
              </c:pt>
              <c:pt idx="4">
                <c:v>2028</c:v>
              </c:pt>
              <c:pt idx="5">
                <c:v>2029</c:v>
              </c:pt>
              <c:pt idx="6">
                <c:v>2030</c:v>
              </c:pt>
              <c:pt idx="7">
                <c:v>2031</c:v>
              </c:pt>
              <c:pt idx="8">
                <c:v>2032</c:v>
              </c:pt>
              <c:pt idx="9">
                <c:v>2033</c:v>
              </c:pt>
            </c:numLit>
          </c:cat>
          <c:val>
            <c:numRef>
              <c:f>'Emission Reduction Estimates'!$K$51:$T$51</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A8B1-4304-953A-C12F2FDE3C64}"/>
            </c:ext>
          </c:extLst>
        </c:ser>
        <c:ser>
          <c:idx val="1"/>
          <c:order val="1"/>
          <c:tx>
            <c:strRef>
              <c:f>'Emission Reduction Estimates'!$J$52</c:f>
              <c:strCache>
                <c:ptCount val="1"/>
                <c:pt idx="0">
                  <c:v>New annual cost after project (after)</c:v>
                </c:pt>
              </c:strCache>
            </c:strRef>
          </c:tx>
          <c:spPr>
            <a:ln w="28575" cap="rnd">
              <a:solidFill>
                <a:schemeClr val="accent2"/>
              </a:solidFill>
              <a:round/>
            </a:ln>
            <a:effectLst/>
          </c:spPr>
          <c:marker>
            <c:symbol val="none"/>
          </c:marker>
          <c:cat>
            <c:numLit>
              <c:formatCode>General</c:formatCode>
              <c:ptCount val="10"/>
              <c:pt idx="0">
                <c:v>2024</c:v>
              </c:pt>
              <c:pt idx="1">
                <c:v>2025</c:v>
              </c:pt>
              <c:pt idx="2">
                <c:v>2026</c:v>
              </c:pt>
              <c:pt idx="3">
                <c:v>2027</c:v>
              </c:pt>
              <c:pt idx="4">
                <c:v>2028</c:v>
              </c:pt>
              <c:pt idx="5">
                <c:v>2029</c:v>
              </c:pt>
              <c:pt idx="6">
                <c:v>2030</c:v>
              </c:pt>
              <c:pt idx="7">
                <c:v>2031</c:v>
              </c:pt>
              <c:pt idx="8">
                <c:v>2032</c:v>
              </c:pt>
              <c:pt idx="9">
                <c:v>2033</c:v>
              </c:pt>
            </c:numLit>
          </c:cat>
          <c:val>
            <c:numRef>
              <c:f>'Emission Reduction Estimates'!$K$53:$T$53</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8B1-4304-953A-C12F2FDE3C64}"/>
            </c:ext>
          </c:extLst>
        </c:ser>
        <c:ser>
          <c:idx val="2"/>
          <c:order val="2"/>
          <c:tx>
            <c:v>Cost avoided (cumulative savings)</c:v>
          </c:tx>
          <c:spPr>
            <a:ln w="28575" cap="rnd">
              <a:solidFill>
                <a:schemeClr val="accent3"/>
              </a:solidFill>
              <a:round/>
            </a:ln>
            <a:effectLst/>
          </c:spPr>
          <c:marker>
            <c:symbol val="none"/>
          </c:marker>
          <c:cat>
            <c:numLit>
              <c:formatCode>General</c:formatCode>
              <c:ptCount val="10"/>
              <c:pt idx="0">
                <c:v>2024</c:v>
              </c:pt>
              <c:pt idx="1">
                <c:v>2025</c:v>
              </c:pt>
              <c:pt idx="2">
                <c:v>2026</c:v>
              </c:pt>
              <c:pt idx="3">
                <c:v>2027</c:v>
              </c:pt>
              <c:pt idx="4">
                <c:v>2028</c:v>
              </c:pt>
              <c:pt idx="5">
                <c:v>2029</c:v>
              </c:pt>
              <c:pt idx="6">
                <c:v>2030</c:v>
              </c:pt>
              <c:pt idx="7">
                <c:v>2031</c:v>
              </c:pt>
              <c:pt idx="8">
                <c:v>2032</c:v>
              </c:pt>
              <c:pt idx="9">
                <c:v>2033</c:v>
              </c:pt>
            </c:numLit>
          </c:cat>
          <c:val>
            <c:numLit>
              <c:formatCode>General</c:formatCode>
              <c:ptCount val="10"/>
              <c:pt idx="0">
                <c:v>0</c:v>
              </c:pt>
              <c:pt idx="1">
                <c:v>0</c:v>
              </c:pt>
              <c:pt idx="2">
                <c:v>0</c:v>
              </c:pt>
              <c:pt idx="3">
                <c:v>0</c:v>
              </c:pt>
              <c:pt idx="4">
                <c:v>0</c:v>
              </c:pt>
              <c:pt idx="5">
                <c:v>0</c:v>
              </c:pt>
              <c:pt idx="6">
                <c:v>0</c:v>
              </c:pt>
              <c:pt idx="7">
                <c:v>0</c:v>
              </c:pt>
              <c:pt idx="8">
                <c:v>0</c:v>
              </c:pt>
              <c:pt idx="9">
                <c:v>0</c:v>
              </c:pt>
            </c:numLit>
          </c:val>
          <c:smooth val="0"/>
          <c:extLst xmlns:c15="http://schemas.microsoft.com/office/drawing/2012/chart">
            <c:ext xmlns:c16="http://schemas.microsoft.com/office/drawing/2014/chart" uri="{C3380CC4-5D6E-409C-BE32-E72D297353CC}">
              <c16:uniqueId val="{00000002-A8B1-4304-953A-C12F2FDE3C64}"/>
            </c:ext>
          </c:extLst>
        </c:ser>
        <c:dLbls>
          <c:showLegendKey val="0"/>
          <c:showVal val="0"/>
          <c:showCatName val="0"/>
          <c:showSerName val="0"/>
          <c:showPercent val="0"/>
          <c:showBubbleSize val="0"/>
        </c:dLbls>
        <c:smooth val="0"/>
        <c:axId val="236429736"/>
        <c:axId val="236436296"/>
        <c:extLst/>
      </c:lineChart>
      <c:dateAx>
        <c:axId val="236429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36436296"/>
        <c:crosses val="autoZero"/>
        <c:auto val="0"/>
        <c:lblOffset val="100"/>
        <c:baseTimeUnit val="days"/>
      </c:dateAx>
      <c:valAx>
        <c:axId val="236436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MTCO2e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36429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5</xdr:col>
      <xdr:colOff>390525</xdr:colOff>
      <xdr:row>0</xdr:row>
      <xdr:rowOff>314324</xdr:rowOff>
    </xdr:from>
    <xdr:to>
      <xdr:col>12</xdr:col>
      <xdr:colOff>377824</xdr:colOff>
      <xdr:row>19</xdr:row>
      <xdr:rowOff>66675</xdr:rowOff>
    </xdr:to>
    <xdr:sp macro="" textlink="">
      <xdr:nvSpPr>
        <xdr:cNvPr id="2" name="TextBox 1">
          <a:extLst>
            <a:ext uri="{FF2B5EF4-FFF2-40B4-BE49-F238E27FC236}">
              <a16:creationId xmlns:a16="http://schemas.microsoft.com/office/drawing/2014/main" id="{4C358854-8F04-4A63-BE89-D8D1CD9A673F}"/>
            </a:ext>
          </a:extLst>
        </xdr:cNvPr>
        <xdr:cNvSpPr txBox="1"/>
      </xdr:nvSpPr>
      <xdr:spPr>
        <a:xfrm>
          <a:off x="8353425" y="314324"/>
          <a:ext cx="4254499" cy="365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Gallons</a:t>
          </a:r>
          <a:r>
            <a:rPr lang="en-US" sz="1400" baseline="0"/>
            <a:t> are computations sourced from AssetWorks fleet management system.  The values combine Fuel Tickets from both WEX and WSDOT Fuel.  If your organization uses other fuel card networks, those are not included in these results.</a:t>
          </a:r>
        </a:p>
        <a:p>
          <a:endParaRPr lang="en-US" sz="1400" baseline="0"/>
        </a:p>
        <a:p>
          <a:r>
            <a:rPr lang="en-US" sz="1400" b="1" baseline="0"/>
            <a:t>These results only apply to DES Fleet owned and operated vehicles.  </a:t>
          </a:r>
          <a:r>
            <a:rPr lang="en-US" sz="1400" baseline="0"/>
            <a:t>If your organization owns and operates other equipment, that fuel usage must be reported in addition to these results.</a:t>
          </a:r>
        </a:p>
        <a:p>
          <a:endParaRPr lang="en-US" sz="1400" baseline="0"/>
        </a:p>
        <a:p>
          <a:r>
            <a:rPr lang="en-US" sz="1400" b="1"/>
            <a:t>Instructions:</a:t>
          </a:r>
          <a:r>
            <a:rPr lang="en-US" sz="1400" b="1" baseline="0"/>
            <a:t> </a:t>
          </a:r>
        </a:p>
        <a:p>
          <a:r>
            <a:rPr lang="en-US" sz="1400" baseline="0"/>
            <a:t>- Locate your agency on the list</a:t>
          </a:r>
        </a:p>
        <a:p>
          <a:r>
            <a:rPr lang="en-US" sz="1400" baseline="0"/>
            <a:t>- Add the bio-diesel, diesel, and unleaded gasoline data to the Report tab, Section 3: Fleet Energy Use, Motor Vehicles, as applicable</a:t>
          </a: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29</xdr:row>
      <xdr:rowOff>133008</xdr:rowOff>
    </xdr:from>
    <xdr:to>
      <xdr:col>18</xdr:col>
      <xdr:colOff>39295</xdr:colOff>
      <xdr:row>41</xdr:row>
      <xdr:rowOff>132304</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694763</xdr:colOff>
      <xdr:row>54</xdr:row>
      <xdr:rowOff>830</xdr:rowOff>
    </xdr:from>
    <xdr:to>
      <xdr:col>18</xdr:col>
      <xdr:colOff>82176</xdr:colOff>
      <xdr:row>69</xdr:row>
      <xdr:rowOff>37353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694763</xdr:colOff>
      <xdr:row>54</xdr:row>
      <xdr:rowOff>830</xdr:rowOff>
    </xdr:from>
    <xdr:to>
      <xdr:col>18</xdr:col>
      <xdr:colOff>82176</xdr:colOff>
      <xdr:row>69</xdr:row>
      <xdr:rowOff>37353</xdr:rowOff>
    </xdr:to>
    <xdr:graphicFrame macro="">
      <xdr:nvGraphicFramePr>
        <xdr:cNvPr id="4" name="Chart 3">
          <a:extLst>
            <a:ext uri="{FF2B5EF4-FFF2-40B4-BE49-F238E27FC236}">
              <a16:creationId xmlns:a16="http://schemas.microsoft.com/office/drawing/2014/main" id="{F1FC110E-EABF-417C-80B9-8720FD58F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shington/HB%202311%20-%20SA%20GHG%20Reporting/Agency%20Calculators,%20Data%20and%20Reporting/2021%20SA%20Reports/Agency%20Reports/LCB/2021_LCB_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port"/>
      <sheetName val="Reference"/>
      <sheetName val="Emission Reduction Estimates"/>
      <sheetName val="hide tab"/>
    </sheetNames>
    <sheetDataSet>
      <sheetData sheetId="0"/>
      <sheetData sheetId="1">
        <row r="21">
          <cell r="B21">
            <v>83356</v>
          </cell>
        </row>
      </sheetData>
      <sheetData sheetId="2">
        <row r="5">
          <cell r="A5">
            <v>0.1</v>
          </cell>
        </row>
        <row r="9">
          <cell r="A9">
            <v>3.4119999999999999</v>
          </cell>
        </row>
        <row r="10">
          <cell r="A10">
            <v>1.194</v>
          </cell>
        </row>
        <row r="15">
          <cell r="D15">
            <v>5.3060000000000008E-3</v>
          </cell>
          <cell r="F15">
            <v>1.0000000000000001E-7</v>
          </cell>
          <cell r="H15">
            <v>1E-8</v>
          </cell>
        </row>
        <row r="19">
          <cell r="D19">
            <v>1.0206479999999999E-2</v>
          </cell>
          <cell r="F19">
            <v>4.1400000000000003E-7</v>
          </cell>
          <cell r="H19">
            <v>8.2800000000000027E-8</v>
          </cell>
        </row>
        <row r="20">
          <cell r="D20">
            <v>5.7211700000000002E-3</v>
          </cell>
          <cell r="F20">
            <v>2.7300000000000002E-7</v>
          </cell>
          <cell r="H20">
            <v>5.4600000000000006E-8</v>
          </cell>
        </row>
        <row r="21">
          <cell r="D21">
            <v>1.0206479999999999E-2</v>
          </cell>
          <cell r="F21">
            <v>4.1400000000000003E-7</v>
          </cell>
          <cell r="H21">
            <v>8.2800000000000027E-8</v>
          </cell>
        </row>
        <row r="22">
          <cell r="D22">
            <v>8.7775000000000006E-3</v>
          </cell>
          <cell r="F22">
            <v>3.7500000000000001E-7</v>
          </cell>
          <cell r="H22">
            <v>7.500000000000001E-8</v>
          </cell>
        </row>
        <row r="27">
          <cell r="C27">
            <v>0.18480641201623974</v>
          </cell>
          <cell r="D27">
            <v>1.8480641201623974E-4</v>
          </cell>
        </row>
        <row r="43">
          <cell r="D43">
            <v>9.4214285714285719E-3</v>
          </cell>
        </row>
        <row r="51">
          <cell r="B51">
            <v>25</v>
          </cell>
        </row>
        <row r="52">
          <cell r="B52">
            <v>298</v>
          </cell>
        </row>
      </sheetData>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CE17A8A-7EF0-4496-9D23-F4C305F8B1BA}" name="Table2" displayName="Table2" ref="A2:E72" totalsRowCount="1">
  <autoFilter ref="A2:E71" xr:uid="{BCE17A8A-7EF0-4496-9D23-F4C305F8B1BA}"/>
  <tableColumns count="5">
    <tableColumn id="1" xr3:uid="{4C05FE87-B39E-447C-89DB-79E5093A9414}" name="Agency"/>
    <tableColumn id="2" xr3:uid="{333713F1-23F1-48D6-B0B0-84C95BE94A95}" name="BIO-DIESEL" totalsRowDxfId="4" dataCellStyle="Comma" totalsRowCellStyle="Comma"/>
    <tableColumn id="3" xr3:uid="{5EA75099-AFC3-4AE2-BA7A-C5D2C60C1C07}" name="DIESEL" totalsRowDxfId="3" dataCellStyle="Comma" totalsRowCellStyle="Comma"/>
    <tableColumn id="4" xr3:uid="{F8FABE8E-358D-431B-9FEC-ECA868F2B731}" name="UNLEADED" dataDxfId="2" totalsRowDxfId="1" dataCellStyle="Comma" totalsRowCellStyle="Comma"/>
    <tableColumn id="5" xr3:uid="{DE223A21-8540-4E5F-9032-5D110B4D57B0}" name="Total Gallons" totalsRowDxfId="0" dataCellStyle="Comma" totalsRowCellStyle="Comma"/>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ommerce.wa.gov/seep/" TargetMode="External"/><Relationship Id="rId7" Type="http://schemas.openxmlformats.org/officeDocument/2006/relationships/hyperlink" Target="https://apps.ecology.wa.gov/publications/SummaryPages/2514015.html" TargetMode="External"/><Relationship Id="rId2" Type="http://schemas.openxmlformats.org/officeDocument/2006/relationships/hyperlink" Target="https://ecology.wa.gov/Air-Climate/Reducing-Greenhouse-Gas-Emissions/Tracking-greenhouse-gases/State-agency-greenhouse-gas-reports" TargetMode="External"/><Relationship Id="rId1" Type="http://schemas.openxmlformats.org/officeDocument/2006/relationships/hyperlink" Target="mailto:cprsage@ecy.wa.gov" TargetMode="External"/><Relationship Id="rId6" Type="http://schemas.openxmlformats.org/officeDocument/2006/relationships/hyperlink" Target="https://www.energystar.gov/buildings/benchmark" TargetMode="External"/><Relationship Id="rId5" Type="http://schemas.openxmlformats.org/officeDocument/2006/relationships/hyperlink" Target="https://des.wa.gov/services/facilities-and-leasing-management/energy-program" TargetMode="External"/><Relationship Id="rId4" Type="http://schemas.openxmlformats.org/officeDocument/2006/relationships/hyperlink" Target="https://apps.ecology.wa.gov/publications/summarypages/2202055.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globalair.com/airport/region.aspx" TargetMode="External"/><Relationship Id="rId13" Type="http://schemas.openxmlformats.org/officeDocument/2006/relationships/hyperlink" Target="https://www.eia.gov/dnav/ng/ng_pri_sum_dcu_SWA_a.htm" TargetMode="External"/><Relationship Id="rId3" Type="http://schemas.openxmlformats.org/officeDocument/2006/relationships/hyperlink" Target="https://www.epa.gov/energy/greenhouse-gases-equivalencies-calculator-calculations-and-references" TargetMode="External"/><Relationship Id="rId7" Type="http://schemas.openxmlformats.org/officeDocument/2006/relationships/hyperlink" Target="https://gasprices.aaa.com/?state=WA" TargetMode="External"/><Relationship Id="rId12" Type="http://schemas.openxmlformats.org/officeDocument/2006/relationships/hyperlink" Target="https://www.eia.gov/petroleum/heatingoilpropane/" TargetMode="External"/><Relationship Id="rId2" Type="http://schemas.openxmlformats.org/officeDocument/2006/relationships/hyperlink" Target="https://www.epa.gov/energy/greenhouse-gases-equivalencies-calculator-calculations-and-references" TargetMode="External"/><Relationship Id="rId16" Type="http://schemas.openxmlformats.org/officeDocument/2006/relationships/comments" Target="../comments2.xml"/><Relationship Id="rId1" Type="http://schemas.openxmlformats.org/officeDocument/2006/relationships/hyperlink" Target="https://www.epa.gov/egrid/data-explorer" TargetMode="External"/><Relationship Id="rId6" Type="http://schemas.openxmlformats.org/officeDocument/2006/relationships/hyperlink" Target="https://gasprices.aaa.com/?state=WA" TargetMode="External"/><Relationship Id="rId11" Type="http://schemas.openxmlformats.org/officeDocument/2006/relationships/hyperlink" Target="https://www.eia.gov/petroleum/heatingoilpropane/" TargetMode="External"/><Relationship Id="rId5" Type="http://schemas.openxmlformats.org/officeDocument/2006/relationships/hyperlink" Target="https://www.eia.gov/petroleum/gasdiesel/" TargetMode="External"/><Relationship Id="rId15" Type="http://schemas.openxmlformats.org/officeDocument/2006/relationships/vmlDrawing" Target="../drawings/vmlDrawing2.vml"/><Relationship Id="rId10" Type="http://schemas.openxmlformats.org/officeDocument/2006/relationships/hyperlink" Target="https://www.globalair.com/airport/region.aspx" TargetMode="External"/><Relationship Id="rId4" Type="http://schemas.openxmlformats.org/officeDocument/2006/relationships/hyperlink" Target="https://app.leg.wa.gov/WAC/default.aspx?cite=173-441-040" TargetMode="External"/><Relationship Id="rId9" Type="http://schemas.openxmlformats.org/officeDocument/2006/relationships/hyperlink" Target="https://www.globalair.com/airport/region.aspx"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www.epa.gov/statelocalenergy/quantifying-multiple-benefits-energy-efficiency-and-renewable-energy-guide-state" TargetMode="External"/><Relationship Id="rId7" Type="http://schemas.openxmlformats.org/officeDocument/2006/relationships/vmlDrawing" Target="../drawings/vmlDrawing3.vml"/><Relationship Id="rId2" Type="http://schemas.openxmlformats.org/officeDocument/2006/relationships/hyperlink" Target="https://www.epa.gov/avert/avert-web-edition" TargetMode="External"/><Relationship Id="rId1" Type="http://schemas.openxmlformats.org/officeDocument/2006/relationships/hyperlink" Target="https://www.epa.gov/energy/greenhouse-gas-equivalencies-calculator"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des.wa.gov/services/facilities-leasing/energy-progra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79998168889431442"/>
  </sheetPr>
  <dimension ref="A1:C53"/>
  <sheetViews>
    <sheetView tabSelected="1" workbookViewId="0">
      <selection activeCell="A3" sqref="A3"/>
    </sheetView>
  </sheetViews>
  <sheetFormatPr defaultColWidth="10.7109375" defaultRowHeight="15.75" x14ac:dyDescent="0.25"/>
  <cols>
    <col min="1" max="1" width="102.42578125" style="3" customWidth="1"/>
    <col min="3" max="16384" width="10.7109375" style="2"/>
  </cols>
  <sheetData>
    <row r="1" spans="1:3" ht="23.25" x14ac:dyDescent="0.35">
      <c r="A1" s="14" t="s">
        <v>56</v>
      </c>
    </row>
    <row r="2" spans="1:3" ht="47.25" x14ac:dyDescent="0.25">
      <c r="A2" s="4" t="s">
        <v>557</v>
      </c>
      <c r="B2" s="11"/>
    </row>
    <row r="3" spans="1:3" ht="21" customHeight="1" x14ac:dyDescent="0.25">
      <c r="A3" s="22" t="s">
        <v>503</v>
      </c>
    </row>
    <row r="4" spans="1:3" x14ac:dyDescent="0.25">
      <c r="A4" s="298" t="s">
        <v>493</v>
      </c>
    </row>
    <row r="5" spans="1:3" ht="33.75" customHeight="1" x14ac:dyDescent="0.25">
      <c r="A5" s="298" t="s">
        <v>528</v>
      </c>
      <c r="C5" s="74"/>
    </row>
    <row r="6" spans="1:3" ht="31.5" x14ac:dyDescent="0.25">
      <c r="A6" s="298" t="s">
        <v>512</v>
      </c>
    </row>
    <row r="7" spans="1:3" x14ac:dyDescent="0.25">
      <c r="A7" s="316" t="s">
        <v>556</v>
      </c>
    </row>
    <row r="8" spans="1:3" x14ac:dyDescent="0.25">
      <c r="A8" s="316"/>
    </row>
    <row r="9" spans="1:3" ht="47.25" x14ac:dyDescent="0.25">
      <c r="A9" s="4" t="s">
        <v>507</v>
      </c>
    </row>
    <row r="10" spans="1:3" x14ac:dyDescent="0.25">
      <c r="A10" s="15"/>
    </row>
    <row r="11" spans="1:3" x14ac:dyDescent="0.25">
      <c r="A11" s="4" t="s">
        <v>54</v>
      </c>
    </row>
    <row r="12" spans="1:3" x14ac:dyDescent="0.25">
      <c r="A12" s="299" t="s">
        <v>502</v>
      </c>
    </row>
    <row r="14" spans="1:3" x14ac:dyDescent="0.25">
      <c r="A14" s="83" t="s">
        <v>55</v>
      </c>
    </row>
    <row r="15" spans="1:3" ht="47.25" x14ac:dyDescent="0.25">
      <c r="A15" s="12" t="s">
        <v>504</v>
      </c>
    </row>
    <row r="16" spans="1:3" x14ac:dyDescent="0.25">
      <c r="A16" s="13" t="s">
        <v>381</v>
      </c>
    </row>
    <row r="17" spans="1:1" x14ac:dyDescent="0.25">
      <c r="A17" s="13" t="s">
        <v>382</v>
      </c>
    </row>
    <row r="18" spans="1:1" x14ac:dyDescent="0.25">
      <c r="A18" s="13" t="s">
        <v>383</v>
      </c>
    </row>
    <row r="19" spans="1:1" x14ac:dyDescent="0.25">
      <c r="A19" s="13" t="s">
        <v>384</v>
      </c>
    </row>
    <row r="20" spans="1:1" x14ac:dyDescent="0.25">
      <c r="A20" s="12"/>
    </row>
    <row r="21" spans="1:1" x14ac:dyDescent="0.25">
      <c r="A21" s="12" t="s">
        <v>509</v>
      </c>
    </row>
    <row r="22" spans="1:1" ht="31.5" x14ac:dyDescent="0.25">
      <c r="A22" s="13" t="s">
        <v>505</v>
      </c>
    </row>
    <row r="23" spans="1:1" ht="31.5" x14ac:dyDescent="0.25">
      <c r="A23" s="13" t="s">
        <v>558</v>
      </c>
    </row>
    <row r="24" spans="1:1" x14ac:dyDescent="0.25">
      <c r="A24" s="13"/>
    </row>
    <row r="25" spans="1:1" x14ac:dyDescent="0.25">
      <c r="A25" s="301" t="s">
        <v>506</v>
      </c>
    </row>
    <row r="26" spans="1:1" x14ac:dyDescent="0.25">
      <c r="A26" s="300" t="s">
        <v>511</v>
      </c>
    </row>
    <row r="27" spans="1:1" x14ac:dyDescent="0.25">
      <c r="A27" s="300" t="s">
        <v>508</v>
      </c>
    </row>
    <row r="28" spans="1:1" x14ac:dyDescent="0.25">
      <c r="A28" s="300" t="s">
        <v>510</v>
      </c>
    </row>
    <row r="29" spans="1:1" x14ac:dyDescent="0.25">
      <c r="A29" s="300" t="s">
        <v>513</v>
      </c>
    </row>
    <row r="30" spans="1:1" x14ac:dyDescent="0.25">
      <c r="A30" s="300" t="s">
        <v>530</v>
      </c>
    </row>
    <row r="32" spans="1:1" x14ac:dyDescent="0.25">
      <c r="A32" s="84" t="s">
        <v>537</v>
      </c>
    </row>
    <row r="33" spans="1:2" x14ac:dyDescent="0.25">
      <c r="A33" s="306" t="s">
        <v>532</v>
      </c>
    </row>
    <row r="34" spans="1:2" x14ac:dyDescent="0.25">
      <c r="A34" s="304" t="s">
        <v>552</v>
      </c>
    </row>
    <row r="35" spans="1:2" x14ac:dyDescent="0.25">
      <c r="A35" s="304" t="s">
        <v>514</v>
      </c>
    </row>
    <row r="36" spans="1:2" x14ac:dyDescent="0.25">
      <c r="A36" s="304"/>
    </row>
    <row r="37" spans="1:2" x14ac:dyDescent="0.25">
      <c r="A37" s="307" t="s">
        <v>515</v>
      </c>
      <c r="B37" s="11"/>
    </row>
    <row r="38" spans="1:2" x14ac:dyDescent="0.25">
      <c r="A38" s="302" t="s">
        <v>517</v>
      </c>
      <c r="B38" s="11"/>
    </row>
    <row r="39" spans="1:2" x14ac:dyDescent="0.25">
      <c r="A39" s="303"/>
      <c r="B39" s="11"/>
    </row>
    <row r="40" spans="1:2" x14ac:dyDescent="0.25">
      <c r="A40" s="307" t="s">
        <v>533</v>
      </c>
    </row>
    <row r="41" spans="1:2" x14ac:dyDescent="0.25">
      <c r="A41" s="304" t="s">
        <v>531</v>
      </c>
    </row>
    <row r="42" spans="1:2" x14ac:dyDescent="0.25">
      <c r="A42" s="310" t="s">
        <v>538</v>
      </c>
    </row>
    <row r="43" spans="1:2" x14ac:dyDescent="0.25">
      <c r="A43" s="304" t="s">
        <v>553</v>
      </c>
    </row>
    <row r="44" spans="1:2" x14ac:dyDescent="0.25">
      <c r="A44" s="302" t="s">
        <v>555</v>
      </c>
    </row>
    <row r="45" spans="1:2" x14ac:dyDescent="0.25">
      <c r="A45" s="303"/>
    </row>
    <row r="46" spans="1:2" x14ac:dyDescent="0.25">
      <c r="A46" s="307" t="s">
        <v>534</v>
      </c>
    </row>
    <row r="47" spans="1:2" x14ac:dyDescent="0.25">
      <c r="A47" s="304" t="s">
        <v>518</v>
      </c>
    </row>
    <row r="48" spans="1:2" x14ac:dyDescent="0.25">
      <c r="A48" s="304" t="s">
        <v>521</v>
      </c>
    </row>
    <row r="49" spans="1:2" x14ac:dyDescent="0.25">
      <c r="A49" s="85"/>
      <c r="B49" s="11"/>
    </row>
    <row r="50" spans="1:2" x14ac:dyDescent="0.25">
      <c r="A50" s="306" t="s">
        <v>535</v>
      </c>
    </row>
    <row r="51" spans="1:2" x14ac:dyDescent="0.25">
      <c r="A51" s="302" t="s">
        <v>516</v>
      </c>
    </row>
    <row r="52" spans="1:2" x14ac:dyDescent="0.25">
      <c r="A52" s="302" t="s">
        <v>522</v>
      </c>
    </row>
    <row r="53" spans="1:2" x14ac:dyDescent="0.25">
      <c r="A53" s="302"/>
    </row>
  </sheetData>
  <hyperlinks>
    <hyperlink ref="A12" r:id="rId1" xr:uid="{5F3316A3-BCC5-44FA-9F7C-DD562733965A}"/>
    <hyperlink ref="A27" r:id="rId2" display="Department of Ecology's State Agency Greenhouse Gas Reporting Webpage" xr:uid="{B35179C0-746E-4E8B-8BE5-EA7E86B7CA69}"/>
    <hyperlink ref="A28" r:id="rId3" xr:uid="{3A094F5D-FBA9-45F8-AC12-5FDF5D7B36B3}"/>
    <hyperlink ref="A26" r:id="rId4" xr:uid="{C2FECF05-1551-4A47-94FD-E2C16519BF7E}"/>
    <hyperlink ref="A29" r:id="rId5" xr:uid="{6717A971-DA3F-4C5C-9E57-C9BDEE57D5F0}"/>
    <hyperlink ref="A30" r:id="rId6" xr:uid="{4F97CE2D-F01D-4FFF-A40A-A3049B6C7AC6}"/>
    <hyperlink ref="A7" r:id="rId7" xr:uid="{104C21E7-716E-406B-894F-175C3573EC7A}"/>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7" tint="0.59999389629810485"/>
  </sheetPr>
  <dimension ref="A1:M135"/>
  <sheetViews>
    <sheetView zoomScaleNormal="100" workbookViewId="0">
      <selection activeCell="A2" sqref="A2"/>
    </sheetView>
  </sheetViews>
  <sheetFormatPr defaultColWidth="8.85546875" defaultRowHeight="15" x14ac:dyDescent="0.25"/>
  <cols>
    <col min="1" max="1" width="59.5703125" style="86" customWidth="1"/>
    <col min="2" max="2" width="25" style="244" customWidth="1"/>
    <col min="3" max="3" width="17.85546875" style="86" customWidth="1"/>
    <col min="4" max="4" width="37.42578125" style="244" customWidth="1"/>
    <col min="5" max="9" width="12.5703125" style="244" customWidth="1"/>
    <col min="10" max="16384" width="8.85546875" style="86"/>
  </cols>
  <sheetData>
    <row r="1" spans="1:9" ht="23.25" x14ac:dyDescent="0.25">
      <c r="A1" s="317" t="s">
        <v>523</v>
      </c>
      <c r="B1" s="317"/>
      <c r="C1" s="317"/>
    </row>
    <row r="2" spans="1:9" x14ac:dyDescent="0.25">
      <c r="A2" s="275" t="s">
        <v>524</v>
      </c>
      <c r="B2" s="241"/>
      <c r="C2"/>
      <c r="D2" s="241"/>
      <c r="E2" s="241"/>
      <c r="F2" s="241"/>
      <c r="G2" s="241"/>
      <c r="H2" s="241"/>
      <c r="I2" s="241"/>
    </row>
    <row r="3" spans="1:9" x14ac:dyDescent="0.25">
      <c r="A3" s="214"/>
      <c r="B3" s="241"/>
      <c r="C3"/>
      <c r="D3" s="241"/>
      <c r="E3" s="241"/>
      <c r="F3" s="241"/>
      <c r="G3" s="241"/>
      <c r="H3" s="241"/>
      <c r="I3" s="241"/>
    </row>
    <row r="4" spans="1:9" ht="21.75" thickBot="1" x14ac:dyDescent="0.3">
      <c r="A4" s="87" t="s">
        <v>5</v>
      </c>
      <c r="B4" s="242"/>
      <c r="C4" s="88"/>
      <c r="D4" s="242"/>
      <c r="E4" s="242"/>
      <c r="F4" s="242"/>
      <c r="G4" s="242"/>
      <c r="H4" s="242"/>
      <c r="I4" s="242"/>
    </row>
    <row r="5" spans="1:9" ht="15.75" thickBot="1" x14ac:dyDescent="0.3">
      <c r="A5" s="28" t="s">
        <v>199</v>
      </c>
      <c r="B5" s="270"/>
      <c r="C5"/>
      <c r="D5" s="344" t="s">
        <v>529</v>
      </c>
      <c r="E5" s="320"/>
      <c r="F5" s="320"/>
      <c r="G5" s="320"/>
      <c r="H5" s="320"/>
      <c r="I5" s="321"/>
    </row>
    <row r="6" spans="1:9" ht="15.75" thickBot="1" x14ac:dyDescent="0.3">
      <c r="A6" s="28" t="s">
        <v>144</v>
      </c>
      <c r="B6" s="274"/>
      <c r="C6"/>
      <c r="D6" s="322"/>
      <c r="E6" s="323"/>
      <c r="F6" s="323"/>
      <c r="G6" s="323"/>
      <c r="H6" s="323"/>
      <c r="I6" s="324"/>
    </row>
    <row r="7" spans="1:9" ht="15.75" thickBot="1" x14ac:dyDescent="0.3">
      <c r="A7" s="28" t="s">
        <v>215</v>
      </c>
      <c r="B7" s="270"/>
      <c r="C7"/>
      <c r="D7" s="322"/>
      <c r="E7" s="323"/>
      <c r="F7" s="323"/>
      <c r="G7" s="323"/>
      <c r="H7" s="323"/>
      <c r="I7" s="324"/>
    </row>
    <row r="8" spans="1:9" ht="15.75" thickBot="1" x14ac:dyDescent="0.3">
      <c r="A8" s="28" t="s">
        <v>216</v>
      </c>
      <c r="B8" s="270"/>
      <c r="C8"/>
      <c r="D8" s="322"/>
      <c r="E8" s="323"/>
      <c r="F8" s="323"/>
      <c r="G8" s="323"/>
      <c r="H8" s="323"/>
      <c r="I8" s="324"/>
    </row>
    <row r="9" spans="1:9" ht="15.75" thickBot="1" x14ac:dyDescent="0.3">
      <c r="A9" s="28" t="s">
        <v>217</v>
      </c>
      <c r="B9" s="270"/>
      <c r="C9"/>
      <c r="D9" s="322"/>
      <c r="E9" s="323"/>
      <c r="F9" s="323"/>
      <c r="G9" s="323"/>
      <c r="H9" s="323"/>
      <c r="I9" s="324"/>
    </row>
    <row r="10" spans="1:9" ht="15.75" thickBot="1" x14ac:dyDescent="0.3">
      <c r="A10" s="28" t="s">
        <v>236</v>
      </c>
      <c r="B10" s="270"/>
      <c r="C10"/>
      <c r="D10" s="322"/>
      <c r="E10" s="323"/>
      <c r="F10" s="323"/>
      <c r="G10" s="323"/>
      <c r="H10" s="323"/>
      <c r="I10" s="324"/>
    </row>
    <row r="11" spans="1:9" ht="15.75" thickBot="1" x14ac:dyDescent="0.3">
      <c r="A11" s="28" t="s">
        <v>379</v>
      </c>
      <c r="B11" s="270"/>
      <c r="C11"/>
      <c r="D11" s="325"/>
      <c r="E11" s="326"/>
      <c r="F11" s="326"/>
      <c r="G11" s="326"/>
      <c r="H11" s="326"/>
      <c r="I11" s="327"/>
    </row>
    <row r="12" spans="1:9" x14ac:dyDescent="0.25">
      <c r="A12"/>
      <c r="B12" s="241"/>
      <c r="C12"/>
      <c r="D12" s="241"/>
      <c r="E12" s="241"/>
      <c r="F12" s="241"/>
      <c r="G12" s="241"/>
      <c r="H12" s="241"/>
      <c r="I12" s="241"/>
    </row>
    <row r="13" spans="1:9" ht="21" x14ac:dyDescent="0.25">
      <c r="A13" s="87" t="s">
        <v>52</v>
      </c>
      <c r="B13" s="242"/>
      <c r="C13" s="88"/>
      <c r="D13" s="242"/>
      <c r="E13" s="242"/>
      <c r="F13" s="242"/>
      <c r="G13" s="242"/>
      <c r="H13" s="242"/>
      <c r="I13" s="242"/>
    </row>
    <row r="14" spans="1:9" ht="29.45" customHeight="1" x14ac:dyDescent="0.25">
      <c r="A14" s="348" t="s">
        <v>312</v>
      </c>
      <c r="B14" s="348"/>
      <c r="C14" s="348"/>
      <c r="D14" s="348"/>
      <c r="E14" s="89"/>
      <c r="F14" s="89"/>
      <c r="G14" s="89"/>
      <c r="H14" s="89"/>
      <c r="I14" s="89"/>
    </row>
    <row r="15" spans="1:9" x14ac:dyDescent="0.25">
      <c r="A15"/>
      <c r="B15" s="241"/>
      <c r="C15" s="90" t="s">
        <v>371</v>
      </c>
      <c r="D15" s="241"/>
      <c r="E15" s="241"/>
      <c r="F15" s="241"/>
      <c r="G15" s="241"/>
      <c r="H15" s="241"/>
      <c r="I15" s="241"/>
    </row>
    <row r="16" spans="1:9" ht="19.5" thickBot="1" x14ac:dyDescent="0.35">
      <c r="A16" s="91" t="s">
        <v>334</v>
      </c>
      <c r="B16" s="241"/>
      <c r="C16" s="92"/>
      <c r="D16" s="241"/>
      <c r="E16" s="241"/>
      <c r="F16" s="241"/>
      <c r="G16" s="241"/>
      <c r="H16" s="241"/>
      <c r="I16" s="241"/>
    </row>
    <row r="17" spans="1:9" ht="14.45" customHeight="1" thickBot="1" x14ac:dyDescent="0.3">
      <c r="A17" s="93" t="s">
        <v>0</v>
      </c>
      <c r="B17" s="271"/>
      <c r="C17" s="94">
        <f>IF(B17,B17/Total_conditioned_space__sq._ft.,0)</f>
        <v>0</v>
      </c>
      <c r="D17" s="337" t="s">
        <v>525</v>
      </c>
      <c r="E17" s="319" t="s">
        <v>526</v>
      </c>
      <c r="F17" s="320"/>
      <c r="G17" s="320"/>
      <c r="H17" s="320"/>
      <c r="I17" s="321"/>
    </row>
    <row r="18" spans="1:9" ht="15.75" thickBot="1" x14ac:dyDescent="0.3">
      <c r="A18" s="93" t="s">
        <v>1</v>
      </c>
      <c r="B18" s="271"/>
      <c r="C18" s="94">
        <f>IF(B18,B18/Total_conditioned_space__sq._ft.,0)</f>
        <v>0</v>
      </c>
      <c r="D18" s="337"/>
      <c r="E18" s="322"/>
      <c r="F18" s="323"/>
      <c r="G18" s="323"/>
      <c r="H18" s="323"/>
      <c r="I18" s="324"/>
    </row>
    <row r="19" spans="1:9" ht="15.75" thickBot="1" x14ac:dyDescent="0.3">
      <c r="A19" s="93" t="s">
        <v>3</v>
      </c>
      <c r="B19" s="271"/>
      <c r="C19" s="94">
        <f>IF(B19,B19/Total_conditioned_space__sq._ft.,0)</f>
        <v>0</v>
      </c>
      <c r="D19" s="337"/>
      <c r="E19" s="322"/>
      <c r="F19" s="323"/>
      <c r="G19" s="323"/>
      <c r="H19" s="323"/>
      <c r="I19" s="324"/>
    </row>
    <row r="20" spans="1:9" ht="15.75" thickBot="1" x14ac:dyDescent="0.3">
      <c r="A20" s="93" t="s">
        <v>4</v>
      </c>
      <c r="B20" s="271"/>
      <c r="C20" s="94">
        <f>IF(B20,B20/Total_conditioned_space__sq._ft.,0)</f>
        <v>0</v>
      </c>
      <c r="D20" s="337"/>
      <c r="E20" s="322"/>
      <c r="F20" s="323"/>
      <c r="G20" s="323"/>
      <c r="H20" s="323"/>
      <c r="I20" s="324"/>
    </row>
    <row r="21" spans="1:9" ht="15.75" thickBot="1" x14ac:dyDescent="0.3">
      <c r="A21" s="95" t="s">
        <v>200</v>
      </c>
      <c r="B21" s="272">
        <f>SUM(B17:B20)</f>
        <v>0</v>
      </c>
      <c r="C21" s="96"/>
      <c r="D21" s="337"/>
      <c r="E21" s="325"/>
      <c r="F21" s="326"/>
      <c r="G21" s="326"/>
      <c r="H21" s="326"/>
      <c r="I21" s="327"/>
    </row>
    <row r="22" spans="1:9" x14ac:dyDescent="0.25">
      <c r="A22"/>
      <c r="B22" s="241"/>
      <c r="C22"/>
      <c r="D22" s="257"/>
      <c r="E22" s="241"/>
      <c r="F22" s="241"/>
      <c r="G22" s="241"/>
      <c r="H22" s="241"/>
      <c r="I22" s="241"/>
    </row>
    <row r="23" spans="1:9" ht="18.75" x14ac:dyDescent="0.3">
      <c r="A23" s="82" t="s">
        <v>313</v>
      </c>
      <c r="B23" s="241"/>
      <c r="C23"/>
      <c r="D23" s="257"/>
      <c r="E23" s="241"/>
      <c r="F23" s="241"/>
      <c r="G23" s="241"/>
      <c r="H23" s="241"/>
      <c r="I23" s="241"/>
    </row>
    <row r="24" spans="1:9" ht="15.75" thickBot="1" x14ac:dyDescent="0.3">
      <c r="A24" s="18"/>
      <c r="B24" s="243" t="s">
        <v>335</v>
      </c>
      <c r="C24"/>
      <c r="D24" s="257"/>
      <c r="E24" s="241"/>
      <c r="F24" s="241"/>
      <c r="G24" s="241"/>
      <c r="H24" s="241"/>
      <c r="I24" s="241"/>
    </row>
    <row r="25" spans="1:9" ht="15.75" thickBot="1" x14ac:dyDescent="0.3">
      <c r="A25" s="7" t="s">
        <v>224</v>
      </c>
      <c r="B25" s="241"/>
      <c r="C25"/>
      <c r="D25" s="208" t="s">
        <v>370</v>
      </c>
      <c r="E25" s="273"/>
      <c r="F25" s="241"/>
      <c r="G25" s="241"/>
      <c r="H25" s="241"/>
      <c r="I25" s="241"/>
    </row>
    <row r="26" spans="1:9" ht="15.75" thickBot="1" x14ac:dyDescent="0.3">
      <c r="A26"/>
      <c r="C26"/>
      <c r="D26" s="99"/>
    </row>
    <row r="27" spans="1:9" ht="15.75" thickBot="1" x14ac:dyDescent="0.3">
      <c r="A27" s="17" t="s">
        <v>234</v>
      </c>
      <c r="B27" s="271"/>
      <c r="C27"/>
      <c r="D27" s="208" t="s">
        <v>314</v>
      </c>
      <c r="E27" s="345"/>
      <c r="F27" s="346"/>
      <c r="G27" s="346"/>
      <c r="H27" s="346"/>
      <c r="I27" s="347"/>
    </row>
    <row r="28" spans="1:9" x14ac:dyDescent="0.25">
      <c r="A28" s="18"/>
      <c r="B28" s="241"/>
      <c r="C28"/>
      <c r="D28" s="99"/>
      <c r="E28" s="241"/>
      <c r="F28" s="241"/>
      <c r="G28" s="241"/>
      <c r="H28" s="241"/>
      <c r="I28" s="241"/>
    </row>
    <row r="29" spans="1:9" x14ac:dyDescent="0.25">
      <c r="A29" s="7" t="s">
        <v>195</v>
      </c>
      <c r="B29" s="245"/>
      <c r="C29"/>
      <c r="D29" s="99"/>
      <c r="E29" s="241"/>
      <c r="F29" s="241"/>
      <c r="G29" s="241"/>
      <c r="H29" s="241"/>
      <c r="I29" s="241"/>
    </row>
    <row r="30" spans="1:9" ht="15.75" thickBot="1" x14ac:dyDescent="0.3">
      <c r="A30" s="8"/>
      <c r="B30" s="241"/>
      <c r="C30"/>
      <c r="D30" s="257"/>
      <c r="E30" s="241"/>
      <c r="F30" s="241"/>
      <c r="G30" s="241"/>
      <c r="H30" s="241"/>
      <c r="I30" s="241"/>
    </row>
    <row r="31" spans="1:9" ht="15.75" thickBot="1" x14ac:dyDescent="0.3">
      <c r="A31" s="17" t="s">
        <v>219</v>
      </c>
      <c r="B31" s="271"/>
      <c r="C31"/>
      <c r="D31" s="208" t="s">
        <v>314</v>
      </c>
      <c r="E31" s="345"/>
      <c r="F31" s="346"/>
      <c r="G31" s="346"/>
      <c r="H31" s="346"/>
      <c r="I31" s="347"/>
    </row>
    <row r="32" spans="1:9" x14ac:dyDescent="0.25">
      <c r="A32" s="23"/>
      <c r="B32" s="241"/>
      <c r="C32"/>
      <c r="D32" s="257"/>
      <c r="E32" s="241"/>
      <c r="F32" s="241"/>
      <c r="G32" s="241"/>
      <c r="H32" s="241"/>
      <c r="I32" s="241"/>
    </row>
    <row r="33" spans="1:9" ht="15.75" thickBot="1" x14ac:dyDescent="0.3">
      <c r="A33" s="7" t="s">
        <v>368</v>
      </c>
      <c r="B33" s="241"/>
      <c r="C33"/>
      <c r="D33" s="257"/>
      <c r="E33" s="241"/>
      <c r="F33" s="241"/>
      <c r="G33" s="241"/>
      <c r="H33" s="241"/>
      <c r="I33" s="241"/>
    </row>
    <row r="34" spans="1:9" ht="60.6" customHeight="1" thickBot="1" x14ac:dyDescent="0.3">
      <c r="A34" s="98" t="s">
        <v>369</v>
      </c>
      <c r="B34" s="271"/>
      <c r="C34"/>
      <c r="D34" s="208" t="s">
        <v>315</v>
      </c>
      <c r="E34" s="345"/>
      <c r="F34" s="346"/>
      <c r="G34" s="346"/>
      <c r="H34" s="346"/>
      <c r="I34" s="347"/>
    </row>
    <row r="35" spans="1:9" x14ac:dyDescent="0.25">
      <c r="A35"/>
      <c r="B35" s="241"/>
      <c r="C35"/>
      <c r="D35" s="208"/>
      <c r="E35" s="241"/>
      <c r="F35" s="241"/>
      <c r="G35" s="241"/>
      <c r="H35" s="241"/>
      <c r="I35" s="241"/>
    </row>
    <row r="36" spans="1:9" ht="18.75" x14ac:dyDescent="0.3">
      <c r="A36" s="82" t="s">
        <v>226</v>
      </c>
      <c r="B36" s="241"/>
      <c r="C36"/>
      <c r="D36" s="208"/>
      <c r="E36" s="241"/>
      <c r="F36" s="241"/>
      <c r="G36" s="241"/>
      <c r="H36" s="241"/>
      <c r="I36" s="241"/>
    </row>
    <row r="37" spans="1:9" x14ac:dyDescent="0.25">
      <c r="A37" s="7" t="s">
        <v>222</v>
      </c>
      <c r="B37" s="241"/>
      <c r="C37"/>
      <c r="D37" s="257"/>
      <c r="E37" s="241"/>
      <c r="F37" s="241"/>
      <c r="G37" s="241"/>
      <c r="H37" s="241"/>
      <c r="I37" s="241"/>
    </row>
    <row r="38" spans="1:9" ht="15.75" thickBot="1" x14ac:dyDescent="0.3">
      <c r="A38" s="10" t="s">
        <v>7</v>
      </c>
      <c r="B38" s="243" t="s">
        <v>49</v>
      </c>
      <c r="C38"/>
      <c r="D38" s="257"/>
      <c r="E38" s="241"/>
      <c r="F38" s="241"/>
      <c r="G38" s="241"/>
      <c r="H38" s="241"/>
      <c r="I38" s="241"/>
    </row>
    <row r="39" spans="1:9" ht="15.75" thickBot="1" x14ac:dyDescent="0.3">
      <c r="A39" s="9" t="s">
        <v>8</v>
      </c>
      <c r="B39" s="271"/>
      <c r="C39"/>
      <c r="D39" s="208" t="s">
        <v>314</v>
      </c>
      <c r="E39" s="319" t="s">
        <v>526</v>
      </c>
      <c r="F39" s="320"/>
      <c r="G39" s="320"/>
      <c r="H39" s="320"/>
      <c r="I39" s="321"/>
    </row>
    <row r="40" spans="1:9" ht="15.75" thickBot="1" x14ac:dyDescent="0.3">
      <c r="A40" s="9" t="s">
        <v>9</v>
      </c>
      <c r="B40" s="271"/>
      <c r="C40"/>
      <c r="D40" s="257"/>
      <c r="E40" s="322"/>
      <c r="F40" s="323"/>
      <c r="G40" s="323"/>
      <c r="H40" s="323"/>
      <c r="I40" s="324"/>
    </row>
    <row r="41" spans="1:9" ht="15.75" thickBot="1" x14ac:dyDescent="0.3">
      <c r="A41" s="9" t="s">
        <v>10</v>
      </c>
      <c r="B41" s="271"/>
      <c r="C41"/>
      <c r="D41" s="257"/>
      <c r="E41" s="322"/>
      <c r="F41" s="323"/>
      <c r="G41" s="323"/>
      <c r="H41" s="323"/>
      <c r="I41" s="324"/>
    </row>
    <row r="42" spans="1:9" ht="15.75" thickBot="1" x14ac:dyDescent="0.3">
      <c r="A42" s="9" t="s">
        <v>11</v>
      </c>
      <c r="B42" s="271"/>
      <c r="C42"/>
      <c r="D42" s="257"/>
      <c r="E42" s="322"/>
      <c r="F42" s="323"/>
      <c r="G42" s="323"/>
      <c r="H42" s="323"/>
      <c r="I42" s="324"/>
    </row>
    <row r="43" spans="1:9" ht="15.75" thickBot="1" x14ac:dyDescent="0.3">
      <c r="A43" s="9" t="s">
        <v>12</v>
      </c>
      <c r="B43" s="271"/>
      <c r="C43"/>
      <c r="D43" s="257"/>
      <c r="E43" s="325"/>
      <c r="F43" s="326"/>
      <c r="G43" s="326"/>
      <c r="H43" s="326"/>
      <c r="I43" s="327"/>
    </row>
    <row r="44" spans="1:9" x14ac:dyDescent="0.25">
      <c r="A44"/>
      <c r="B44" s="241"/>
      <c r="C44"/>
      <c r="D44" s="257"/>
      <c r="E44" s="241"/>
      <c r="F44" s="241"/>
      <c r="G44" s="241"/>
      <c r="H44" s="241"/>
      <c r="I44" s="241"/>
    </row>
    <row r="45" spans="1:9" ht="15.75" thickBot="1" x14ac:dyDescent="0.3">
      <c r="A45" s="7" t="s">
        <v>223</v>
      </c>
      <c r="B45" s="241"/>
      <c r="C45"/>
      <c r="D45" s="257"/>
      <c r="E45" s="241"/>
      <c r="F45" s="241"/>
      <c r="G45" s="241"/>
      <c r="H45" s="241"/>
      <c r="I45" s="241"/>
    </row>
    <row r="46" spans="1:9" ht="72.75" thickBot="1" x14ac:dyDescent="0.3">
      <c r="A46" s="17" t="s">
        <v>316</v>
      </c>
      <c r="B46" s="271"/>
      <c r="C46"/>
      <c r="D46" s="208" t="s">
        <v>317</v>
      </c>
      <c r="E46" s="345"/>
      <c r="F46" s="346"/>
      <c r="G46" s="346"/>
      <c r="H46" s="346"/>
      <c r="I46" s="347"/>
    </row>
    <row r="47" spans="1:9" x14ac:dyDescent="0.25">
      <c r="A47" s="9"/>
      <c r="B47" s="241"/>
      <c r="C47"/>
      <c r="D47" s="208"/>
      <c r="E47" s="241"/>
      <c r="F47" s="241"/>
      <c r="G47" s="241"/>
      <c r="H47" s="241"/>
      <c r="I47" s="241"/>
    </row>
    <row r="48" spans="1:9" ht="15.75" thickBot="1" x14ac:dyDescent="0.3">
      <c r="A48" s="7" t="s">
        <v>220</v>
      </c>
      <c r="B48" s="241"/>
      <c r="C48"/>
      <c r="D48" s="208"/>
      <c r="E48" s="241"/>
      <c r="F48" s="241"/>
      <c r="G48" s="241"/>
      <c r="H48" s="241"/>
      <c r="I48" s="241"/>
    </row>
    <row r="49" spans="1:9" ht="15.75" thickBot="1" x14ac:dyDescent="0.3">
      <c r="A49" s="9" t="s">
        <v>194</v>
      </c>
      <c r="B49" s="271"/>
      <c r="C49"/>
      <c r="D49" s="208" t="s">
        <v>314</v>
      </c>
      <c r="E49" s="345"/>
      <c r="F49" s="346"/>
      <c r="G49" s="346"/>
      <c r="H49" s="346"/>
      <c r="I49" s="347"/>
    </row>
    <row r="50" spans="1:9" x14ac:dyDescent="0.25">
      <c r="A50" s="9"/>
      <c r="B50" s="241"/>
      <c r="C50"/>
    </row>
    <row r="51" spans="1:9" x14ac:dyDescent="0.25">
      <c r="A51"/>
      <c r="B51" s="241"/>
      <c r="C51"/>
      <c r="D51" s="241"/>
      <c r="E51" s="241"/>
      <c r="F51" s="241"/>
      <c r="G51" s="241"/>
      <c r="H51" s="241"/>
      <c r="I51" s="241"/>
    </row>
    <row r="52" spans="1:9" x14ac:dyDescent="0.25">
      <c r="A52"/>
      <c r="B52" s="241"/>
      <c r="C52"/>
      <c r="D52" s="241"/>
      <c r="E52" s="241"/>
      <c r="F52" s="241"/>
      <c r="G52" s="241"/>
      <c r="H52" s="241"/>
      <c r="I52" s="241"/>
    </row>
    <row r="53" spans="1:9" ht="21" x14ac:dyDescent="0.25">
      <c r="A53" s="87" t="s">
        <v>53</v>
      </c>
      <c r="B53" s="246" t="s">
        <v>2</v>
      </c>
      <c r="C53" s="100" t="s">
        <v>2</v>
      </c>
      <c r="D53" s="246" t="s">
        <v>2</v>
      </c>
      <c r="E53" s="246" t="s">
        <v>2</v>
      </c>
      <c r="F53" s="246" t="s">
        <v>2</v>
      </c>
      <c r="G53" s="246" t="s">
        <v>2</v>
      </c>
      <c r="H53" s="246" t="s">
        <v>2</v>
      </c>
      <c r="I53" s="246" t="s">
        <v>2</v>
      </c>
    </row>
    <row r="54" spans="1:9" x14ac:dyDescent="0.25">
      <c r="A54" s="348" t="s">
        <v>297</v>
      </c>
      <c r="B54" s="348"/>
      <c r="C54" s="348"/>
      <c r="D54" s="348"/>
      <c r="E54" s="348"/>
      <c r="F54" s="348"/>
      <c r="G54" s="89"/>
      <c r="H54" s="89"/>
      <c r="I54" s="89"/>
    </row>
    <row r="55" spans="1:9" ht="18.75" x14ac:dyDescent="0.3">
      <c r="A55" s="82" t="s">
        <v>225</v>
      </c>
      <c r="B55" s="241" t="s">
        <v>2</v>
      </c>
      <c r="D55" s="257"/>
      <c r="E55" s="241"/>
      <c r="F55" s="241"/>
      <c r="G55" s="241"/>
      <c r="H55" s="241"/>
      <c r="I55" s="241"/>
    </row>
    <row r="56" spans="1:9" ht="15.75" thickBot="1" x14ac:dyDescent="0.3">
      <c r="A56" s="7" t="s">
        <v>13</v>
      </c>
      <c r="B56" s="241"/>
      <c r="C56"/>
      <c r="D56" s="257"/>
      <c r="E56" s="241"/>
      <c r="F56" s="241"/>
      <c r="G56" s="241"/>
      <c r="H56" s="241"/>
      <c r="I56" s="241"/>
    </row>
    <row r="57" spans="1:9" ht="15.75" thickBot="1" x14ac:dyDescent="0.3">
      <c r="A57" s="10" t="s">
        <v>7</v>
      </c>
      <c r="B57" s="243" t="s">
        <v>14</v>
      </c>
      <c r="C57" s="10" t="s">
        <v>318</v>
      </c>
      <c r="D57" s="337" t="s">
        <v>314</v>
      </c>
      <c r="E57" s="328"/>
      <c r="F57" s="329"/>
      <c r="G57" s="329"/>
      <c r="H57" s="329"/>
      <c r="I57" s="330"/>
    </row>
    <row r="58" spans="1:9" ht="15.75" thickBot="1" x14ac:dyDescent="0.3">
      <c r="A58" s="9" t="s">
        <v>251</v>
      </c>
      <c r="B58" s="271"/>
      <c r="C58" s="213">
        <v>0</v>
      </c>
      <c r="D58" s="337"/>
      <c r="E58" s="331"/>
      <c r="F58" s="332"/>
      <c r="G58" s="332"/>
      <c r="H58" s="332"/>
      <c r="I58" s="333"/>
    </row>
    <row r="59" spans="1:9" ht="15.75" thickBot="1" x14ac:dyDescent="0.3">
      <c r="A59" s="9" t="s">
        <v>16</v>
      </c>
      <c r="B59" s="271"/>
      <c r="C59" s="213">
        <v>0</v>
      </c>
      <c r="D59" s="337"/>
      <c r="E59" s="331"/>
      <c r="F59" s="332"/>
      <c r="G59" s="332"/>
      <c r="H59" s="332"/>
      <c r="I59" s="333"/>
    </row>
    <row r="60" spans="1:9" ht="15.75" thickBot="1" x14ac:dyDescent="0.3">
      <c r="A60" s="9" t="s">
        <v>17</v>
      </c>
      <c r="B60" s="271"/>
      <c r="C60" s="213">
        <v>0.60399999999999998</v>
      </c>
      <c r="D60" s="337"/>
      <c r="E60" s="331"/>
      <c r="F60" s="332"/>
      <c r="G60" s="332"/>
      <c r="H60" s="332"/>
      <c r="I60" s="333"/>
    </row>
    <row r="61" spans="1:9" ht="15.75" thickBot="1" x14ac:dyDescent="0.3">
      <c r="A61" s="9" t="s">
        <v>18</v>
      </c>
      <c r="B61" s="271"/>
      <c r="C61" s="213">
        <v>0</v>
      </c>
      <c r="D61" s="337"/>
      <c r="E61" s="331"/>
      <c r="F61" s="332"/>
      <c r="G61" s="332"/>
      <c r="H61" s="332"/>
      <c r="I61" s="333"/>
    </row>
    <row r="62" spans="1:9" ht="15.75" thickBot="1" x14ac:dyDescent="0.3">
      <c r="A62" s="9" t="s">
        <v>19</v>
      </c>
      <c r="B62" s="271"/>
      <c r="C62" s="202"/>
      <c r="D62" s="337"/>
      <c r="E62" s="334"/>
      <c r="F62" s="335"/>
      <c r="G62" s="335"/>
      <c r="H62" s="335"/>
      <c r="I62" s="336"/>
    </row>
    <row r="63" spans="1:9" x14ac:dyDescent="0.25">
      <c r="A63"/>
      <c r="B63" s="241"/>
      <c r="C63"/>
      <c r="D63" s="257"/>
      <c r="E63" s="241"/>
      <c r="F63" s="241"/>
      <c r="G63" s="241"/>
      <c r="H63" s="241"/>
      <c r="I63" s="241"/>
    </row>
    <row r="64" spans="1:9" x14ac:dyDescent="0.25">
      <c r="A64" s="7" t="s">
        <v>20</v>
      </c>
      <c r="B64" s="241"/>
      <c r="C64"/>
      <c r="D64" s="257"/>
      <c r="E64" s="241"/>
      <c r="F64" s="241"/>
      <c r="G64" s="241"/>
      <c r="H64" s="241"/>
      <c r="I64" s="241"/>
    </row>
    <row r="65" spans="1:9" ht="15.75" thickBot="1" x14ac:dyDescent="0.3">
      <c r="A65" s="10" t="s">
        <v>7</v>
      </c>
      <c r="B65" s="243" t="s">
        <v>14</v>
      </c>
      <c r="C65" s="10" t="s">
        <v>318</v>
      </c>
      <c r="D65" s="257"/>
      <c r="E65" s="241"/>
      <c r="F65" s="241"/>
      <c r="G65" s="241"/>
      <c r="H65" s="241"/>
      <c r="I65" s="241"/>
    </row>
    <row r="66" spans="1:9" ht="15.75" thickBot="1" x14ac:dyDescent="0.3">
      <c r="A66" s="9" t="s">
        <v>15</v>
      </c>
      <c r="B66" s="271"/>
      <c r="C66" s="101">
        <v>0</v>
      </c>
      <c r="D66" s="337" t="s">
        <v>314</v>
      </c>
      <c r="E66" s="328"/>
      <c r="F66" s="329"/>
      <c r="G66" s="329"/>
      <c r="H66" s="329"/>
      <c r="I66" s="330"/>
    </row>
    <row r="67" spans="1:9" ht="15.75" thickBot="1" x14ac:dyDescent="0.3">
      <c r="A67" s="9" t="s">
        <v>21</v>
      </c>
      <c r="B67" s="271"/>
      <c r="C67" s="101">
        <v>0</v>
      </c>
      <c r="D67" s="337"/>
      <c r="E67" s="334"/>
      <c r="F67" s="335"/>
      <c r="G67" s="335"/>
      <c r="H67" s="335"/>
      <c r="I67" s="336"/>
    </row>
    <row r="68" spans="1:9" x14ac:dyDescent="0.25">
      <c r="A68"/>
      <c r="B68" s="241"/>
      <c r="C68"/>
      <c r="D68" s="99"/>
      <c r="E68" s="241"/>
      <c r="F68" s="241"/>
      <c r="G68" s="241"/>
      <c r="H68" s="241"/>
      <c r="I68" s="241"/>
    </row>
    <row r="69" spans="1:9" ht="15.75" thickBot="1" x14ac:dyDescent="0.3">
      <c r="A69" s="7" t="s">
        <v>22</v>
      </c>
      <c r="B69" s="241"/>
      <c r="C69"/>
      <c r="D69" s="99"/>
      <c r="E69" s="241"/>
      <c r="F69" s="241"/>
      <c r="G69" s="241"/>
      <c r="H69" s="241"/>
      <c r="I69" s="241"/>
    </row>
    <row r="70" spans="1:9" ht="15.75" thickBot="1" x14ac:dyDescent="0.3">
      <c r="A70" s="10" t="s">
        <v>7</v>
      </c>
      <c r="B70" s="243" t="s">
        <v>14</v>
      </c>
      <c r="C70" s="10" t="s">
        <v>318</v>
      </c>
      <c r="D70" s="337" t="s">
        <v>314</v>
      </c>
      <c r="E70" s="328"/>
      <c r="F70" s="329"/>
      <c r="G70" s="329"/>
      <c r="H70" s="329"/>
      <c r="I70" s="330"/>
    </row>
    <row r="71" spans="1:9" ht="15.75" thickBot="1" x14ac:dyDescent="0.3">
      <c r="A71" s="9" t="s">
        <v>21</v>
      </c>
      <c r="B71" s="271"/>
      <c r="C71" s="101">
        <v>0</v>
      </c>
      <c r="D71" s="337"/>
      <c r="E71" s="334"/>
      <c r="F71" s="335"/>
      <c r="G71" s="335"/>
      <c r="H71" s="335"/>
      <c r="I71" s="336"/>
    </row>
    <row r="72" spans="1:9" x14ac:dyDescent="0.25">
      <c r="A72"/>
      <c r="B72" s="241"/>
      <c r="C72"/>
      <c r="D72" s="99"/>
      <c r="E72" s="241"/>
      <c r="F72" s="241"/>
      <c r="G72" s="241"/>
      <c r="H72" s="241"/>
      <c r="I72" s="241"/>
    </row>
    <row r="73" spans="1:9" x14ac:dyDescent="0.25">
      <c r="A73" s="7" t="s">
        <v>23</v>
      </c>
      <c r="B73" s="241"/>
      <c r="C73"/>
      <c r="D73" s="99"/>
      <c r="E73" s="241"/>
      <c r="F73" s="241"/>
      <c r="G73" s="241"/>
      <c r="H73" s="241"/>
      <c r="I73" s="241"/>
    </row>
    <row r="74" spans="1:9" ht="15.75" thickBot="1" x14ac:dyDescent="0.3">
      <c r="A74" s="10" t="s">
        <v>7</v>
      </c>
      <c r="B74" s="243" t="s">
        <v>14</v>
      </c>
      <c r="C74" s="10" t="s">
        <v>318</v>
      </c>
      <c r="D74" s="257"/>
      <c r="E74" s="241"/>
      <c r="F74" s="241"/>
      <c r="G74" s="241"/>
      <c r="H74" s="241"/>
      <c r="I74" s="241"/>
    </row>
    <row r="75" spans="1:9" ht="15.75" thickBot="1" x14ac:dyDescent="0.3">
      <c r="A75" s="9" t="s">
        <v>24</v>
      </c>
      <c r="B75" s="271"/>
      <c r="C75" s="101">
        <v>0</v>
      </c>
      <c r="D75" s="337" t="s">
        <v>314</v>
      </c>
      <c r="E75" s="338"/>
      <c r="F75" s="339"/>
      <c r="G75" s="339"/>
      <c r="H75" s="339"/>
      <c r="I75" s="340"/>
    </row>
    <row r="76" spans="1:9" ht="15.75" thickBot="1" x14ac:dyDescent="0.3">
      <c r="A76" s="9" t="s">
        <v>25</v>
      </c>
      <c r="B76" s="271"/>
      <c r="C76" s="101">
        <v>0</v>
      </c>
      <c r="D76" s="337"/>
      <c r="E76" s="341"/>
      <c r="F76" s="342"/>
      <c r="G76" s="342"/>
      <c r="H76" s="342"/>
      <c r="I76" s="343"/>
    </row>
    <row r="77" spans="1:9" x14ac:dyDescent="0.25">
      <c r="A77" s="9"/>
      <c r="B77" s="241"/>
      <c r="C77"/>
      <c r="D77" s="241"/>
      <c r="E77" s="241"/>
      <c r="F77" s="241"/>
      <c r="G77" s="241"/>
      <c r="H77" s="241"/>
      <c r="I77" s="241"/>
    </row>
    <row r="78" spans="1:9" x14ac:dyDescent="0.25">
      <c r="A78" s="318" t="s">
        <v>319</v>
      </c>
      <c r="B78" s="318"/>
      <c r="C78" s="318"/>
      <c r="D78" s="318"/>
      <c r="E78" s="318"/>
      <c r="F78" s="318"/>
      <c r="G78" s="241"/>
      <c r="H78" s="241"/>
      <c r="I78" s="241"/>
    </row>
    <row r="79" spans="1:9" ht="31.9" customHeight="1" thickBot="1" x14ac:dyDescent="0.3">
      <c r="A79" s="318"/>
      <c r="B79" s="318"/>
      <c r="C79" s="318"/>
      <c r="D79" s="318"/>
      <c r="E79" s="318"/>
      <c r="F79" s="318"/>
      <c r="G79" s="241"/>
      <c r="H79" s="241"/>
      <c r="I79" s="241"/>
    </row>
    <row r="80" spans="1:9" x14ac:dyDescent="0.25">
      <c r="A80" s="319" t="s">
        <v>527</v>
      </c>
      <c r="B80" s="320"/>
      <c r="C80" s="320"/>
      <c r="D80" s="320"/>
      <c r="E80" s="320"/>
      <c r="F80" s="320"/>
      <c r="G80" s="320"/>
      <c r="H80" s="320"/>
      <c r="I80" s="321"/>
    </row>
    <row r="81" spans="1:13" x14ac:dyDescent="0.25">
      <c r="A81" s="322"/>
      <c r="B81" s="323"/>
      <c r="C81" s="323"/>
      <c r="D81" s="323"/>
      <c r="E81" s="323"/>
      <c r="F81" s="323"/>
      <c r="G81" s="323"/>
      <c r="H81" s="323"/>
      <c r="I81" s="324"/>
    </row>
    <row r="82" spans="1:13" ht="15.75" thickBot="1" x14ac:dyDescent="0.3">
      <c r="A82" s="325"/>
      <c r="B82" s="326"/>
      <c r="C82" s="326"/>
      <c r="D82" s="326"/>
      <c r="E82" s="326"/>
      <c r="F82" s="326"/>
      <c r="G82" s="326"/>
      <c r="H82" s="326"/>
      <c r="I82" s="327"/>
    </row>
    <row r="83" spans="1:13" x14ac:dyDescent="0.25">
      <c r="A83"/>
      <c r="B83" s="241"/>
      <c r="C83"/>
      <c r="D83" s="241"/>
      <c r="E83" s="241"/>
      <c r="F83" s="241"/>
      <c r="G83" s="241"/>
      <c r="H83" s="241"/>
      <c r="I83" s="241"/>
    </row>
    <row r="84" spans="1:13" ht="21" x14ac:dyDescent="0.25">
      <c r="A84" s="87" t="s">
        <v>235</v>
      </c>
      <c r="B84" s="247"/>
      <c r="C84" s="102"/>
      <c r="D84" s="258"/>
      <c r="E84" s="258"/>
      <c r="F84" s="258"/>
      <c r="G84" s="258"/>
      <c r="H84" s="258"/>
      <c r="I84" s="258"/>
      <c r="J84"/>
      <c r="K84"/>
      <c r="L84"/>
      <c r="M84"/>
    </row>
    <row r="85" spans="1:13" ht="15.75" thickBot="1" x14ac:dyDescent="0.3">
      <c r="A85"/>
      <c r="B85" s="241"/>
      <c r="C85"/>
      <c r="D85" s="103" t="s">
        <v>320</v>
      </c>
      <c r="E85" s="241"/>
      <c r="F85" s="241"/>
      <c r="G85" s="241"/>
      <c r="H85" s="241"/>
      <c r="I85" s="241"/>
      <c r="J85"/>
      <c r="K85"/>
      <c r="L85"/>
      <c r="M85"/>
    </row>
    <row r="86" spans="1:13" ht="21" thickTop="1" x14ac:dyDescent="0.35">
      <c r="A86" s="104" t="s">
        <v>92</v>
      </c>
      <c r="B86" s="248">
        <f>E104</f>
        <v>0</v>
      </c>
      <c r="C86" s="105" t="s">
        <v>292</v>
      </c>
      <c r="D86" s="259">
        <f>IF(B86,B86/B88,0)</f>
        <v>0</v>
      </c>
      <c r="E86" s="241"/>
      <c r="F86" s="241"/>
      <c r="G86" s="241"/>
      <c r="H86" s="241"/>
      <c r="I86" s="241"/>
      <c r="J86"/>
      <c r="K86"/>
      <c r="L86"/>
      <c r="M86"/>
    </row>
    <row r="87" spans="1:13" ht="20.25" x14ac:dyDescent="0.35">
      <c r="A87" s="106" t="s">
        <v>93</v>
      </c>
      <c r="B87" s="249">
        <f>E123-G123</f>
        <v>0</v>
      </c>
      <c r="C87" s="107" t="s">
        <v>292</v>
      </c>
      <c r="D87" s="259">
        <f>IF(B87,B87/B88,0)</f>
        <v>0</v>
      </c>
      <c r="E87" s="241"/>
      <c r="F87" s="241"/>
      <c r="G87" s="241"/>
      <c r="H87" s="241"/>
      <c r="I87" s="241"/>
      <c r="J87"/>
      <c r="K87"/>
      <c r="L87"/>
      <c r="M87"/>
    </row>
    <row r="88" spans="1:13" ht="21" thickBot="1" x14ac:dyDescent="0.4">
      <c r="A88" s="108" t="s">
        <v>94</v>
      </c>
      <c r="B88" s="250">
        <f>B86+B87</f>
        <v>0</v>
      </c>
      <c r="C88" s="109" t="s">
        <v>292</v>
      </c>
      <c r="D88" s="241"/>
      <c r="E88" s="241"/>
      <c r="F88" s="241"/>
      <c r="G88" s="241"/>
      <c r="H88" s="241"/>
      <c r="I88" s="241"/>
      <c r="J88"/>
      <c r="K88"/>
      <c r="L88"/>
      <c r="M88"/>
    </row>
    <row r="89" spans="1:13" ht="15.75" thickTop="1" x14ac:dyDescent="0.25">
      <c r="A89"/>
      <c r="B89" s="241"/>
      <c r="C89"/>
      <c r="D89" s="241"/>
      <c r="E89" s="241"/>
      <c r="F89" s="241"/>
      <c r="G89" s="241"/>
      <c r="H89" s="241"/>
      <c r="I89" s="241"/>
      <c r="J89"/>
      <c r="K89"/>
      <c r="L89"/>
      <c r="M89"/>
    </row>
    <row r="90" spans="1:13" x14ac:dyDescent="0.25">
      <c r="A90"/>
      <c r="B90" s="241"/>
      <c r="C90"/>
      <c r="D90" s="241"/>
      <c r="E90" s="241"/>
      <c r="F90" s="241"/>
      <c r="G90" s="241"/>
      <c r="H90" s="241"/>
      <c r="I90" s="241"/>
      <c r="J90"/>
      <c r="K90"/>
      <c r="L90"/>
      <c r="M90"/>
    </row>
    <row r="91" spans="1:13" ht="18.75" x14ac:dyDescent="0.25">
      <c r="A91" s="110" t="s">
        <v>298</v>
      </c>
      <c r="B91" s="251" t="s">
        <v>2</v>
      </c>
      <c r="C91" s="111" t="s">
        <v>2</v>
      </c>
      <c r="D91" s="251" t="s">
        <v>2</v>
      </c>
      <c r="E91" s="251" t="s">
        <v>2</v>
      </c>
      <c r="F91" s="251" t="s">
        <v>2</v>
      </c>
      <c r="G91" s="251" t="s">
        <v>2</v>
      </c>
      <c r="H91" s="251" t="s">
        <v>2</v>
      </c>
      <c r="I91" s="251" t="s">
        <v>2</v>
      </c>
      <c r="J91"/>
      <c r="K91"/>
      <c r="L91"/>
      <c r="M91"/>
    </row>
    <row r="92" spans="1:13" ht="30" x14ac:dyDescent="0.25">
      <c r="A92" s="1" t="s">
        <v>6</v>
      </c>
      <c r="B92" s="112" t="s">
        <v>62</v>
      </c>
      <c r="C92" s="112" t="s">
        <v>64</v>
      </c>
      <c r="D92" s="112" t="s">
        <v>66</v>
      </c>
      <c r="E92" s="112" t="s">
        <v>68</v>
      </c>
      <c r="F92" s="103" t="s">
        <v>321</v>
      </c>
      <c r="G92" s="241"/>
      <c r="H92" s="241"/>
      <c r="I92" s="241"/>
      <c r="J92"/>
      <c r="K92"/>
      <c r="L92"/>
      <c r="M92"/>
    </row>
    <row r="93" spans="1:13" x14ac:dyDescent="0.25">
      <c r="A93" s="1"/>
      <c r="B93" s="112" t="s">
        <v>63</v>
      </c>
      <c r="C93" s="112" t="s">
        <v>65</v>
      </c>
      <c r="D93" s="112" t="s">
        <v>67</v>
      </c>
      <c r="E93" s="112" t="s">
        <v>69</v>
      </c>
      <c r="F93" s="260"/>
      <c r="G93" s="241"/>
      <c r="H93" s="241"/>
      <c r="I93" s="241"/>
      <c r="J93"/>
      <c r="K93"/>
      <c r="L93"/>
      <c r="M93"/>
    </row>
    <row r="94" spans="1:13" x14ac:dyDescent="0.25">
      <c r="A94" s="7" t="s">
        <v>322</v>
      </c>
      <c r="B94" s="252"/>
      <c r="C94" s="24"/>
      <c r="D94" s="252"/>
      <c r="E94" s="252"/>
      <c r="F94" s="259">
        <f>IF(SUM(E95:E99),SUM(E95:E99)/E104,0)</f>
        <v>0</v>
      </c>
      <c r="G94" s="241"/>
      <c r="H94" s="241"/>
      <c r="I94" s="241"/>
      <c r="J94"/>
      <c r="K94"/>
      <c r="L94"/>
      <c r="M94"/>
    </row>
    <row r="95" spans="1:13" x14ac:dyDescent="0.25">
      <c r="A95" s="9" t="s">
        <v>26</v>
      </c>
      <c r="B95" s="253">
        <f>BlgNG__therms_used*NG_MTCO2_therm</f>
        <v>0</v>
      </c>
      <c r="C95" s="114">
        <f>BlgNG__therms_used*NG_MTCH4_therm</f>
        <v>0</v>
      </c>
      <c r="D95" s="253">
        <f>BlgNG__therms_used*NG_MTN2O_therms</f>
        <v>0</v>
      </c>
      <c r="E95" s="253">
        <f>B95+(C95*GWP_CH4)+(D95*GWP_N2O)</f>
        <v>0</v>
      </c>
      <c r="F95" s="245"/>
      <c r="G95" s="241"/>
      <c r="H95" s="241"/>
      <c r="I95" s="241"/>
      <c r="J95"/>
      <c r="K95"/>
      <c r="L95"/>
      <c r="M95"/>
    </row>
    <row r="96" spans="1:13" x14ac:dyDescent="0.25">
      <c r="A96" s="9" t="s">
        <v>21</v>
      </c>
      <c r="B96" s="253">
        <f>BlgDiesel__gals_used*Diesel_MTCO2_gal</f>
        <v>0</v>
      </c>
      <c r="C96" s="114">
        <f>BlgDiesel__gals_used*Diesel_MTCH4_gal</f>
        <v>0</v>
      </c>
      <c r="D96" s="253">
        <f>BlgDiesel__gals_used*Diesel_MTN2O_gal</f>
        <v>0</v>
      </c>
      <c r="E96" s="253">
        <f>B96+(C96*GWP_CH4)+(D96*GWP_N2O)</f>
        <v>0</v>
      </c>
      <c r="F96" s="245"/>
      <c r="G96" s="241" t="s">
        <v>2</v>
      </c>
      <c r="H96" s="241"/>
      <c r="I96" s="241"/>
      <c r="J96"/>
      <c r="K96"/>
      <c r="L96"/>
      <c r="M96"/>
    </row>
    <row r="97" spans="1:13" x14ac:dyDescent="0.25">
      <c r="A97" s="9" t="s">
        <v>19</v>
      </c>
      <c r="B97" s="253">
        <f>BlgPropane__gals_used*Propane_MTCO2_gal</f>
        <v>0</v>
      </c>
      <c r="C97" s="114">
        <f>BlgPropane__gals_used*Propane_MTCH4_gal</f>
        <v>0</v>
      </c>
      <c r="D97" s="253">
        <f>BlgPropane__gals_used*Propane_MTN2O_gal</f>
        <v>0</v>
      </c>
      <c r="E97" s="253">
        <f>B97+(C97*GWP_CH4)+(D97*GWP_N2O)</f>
        <v>0</v>
      </c>
      <c r="F97" s="245"/>
      <c r="G97" s="241" t="s">
        <v>2</v>
      </c>
      <c r="H97" s="241"/>
      <c r="I97" s="241"/>
      <c r="J97"/>
      <c r="K97"/>
      <c r="L97"/>
      <c r="M97"/>
    </row>
    <row r="98" spans="1:13" x14ac:dyDescent="0.25">
      <c r="A98" s="9" t="s">
        <v>27</v>
      </c>
      <c r="B98" s="253">
        <f>BlgFuelOil__gals_used*FuelOil_MTCO2_gal</f>
        <v>0</v>
      </c>
      <c r="C98" s="114">
        <f>BlgFuelOil__gals_used*FuelOil_MTCH4_gal</f>
        <v>0</v>
      </c>
      <c r="D98" s="253">
        <f>BlgFuelOil__gals_used*FuelOil_MTN2O_gal</f>
        <v>0</v>
      </c>
      <c r="E98" s="253">
        <f>B98+(C98*GWP_CH4)+(D98*GWP_N2O)</f>
        <v>0</v>
      </c>
      <c r="F98" s="245"/>
      <c r="G98" s="241"/>
      <c r="H98" s="241"/>
      <c r="I98" s="241"/>
      <c r="J98"/>
      <c r="K98"/>
      <c r="L98"/>
      <c r="M98"/>
    </row>
    <row r="99" spans="1:13" x14ac:dyDescent="0.25">
      <c r="A99" s="9" t="s">
        <v>15</v>
      </c>
      <c r="B99" s="253">
        <f>BlgGasoline__gals_used*Gasoline_MTCO2_gal</f>
        <v>0</v>
      </c>
      <c r="C99" s="114">
        <f>BlgGasoline__gals_used*Gasonline_MTCH4_gal</f>
        <v>0</v>
      </c>
      <c r="D99" s="253">
        <f>BlgGasoline__gals_used*Gasoline_MTN2O_gal</f>
        <v>0</v>
      </c>
      <c r="E99" s="253">
        <f>B99+(C99*GWP_CH4)+(D99*GWP_N2O)</f>
        <v>0</v>
      </c>
      <c r="F99" s="245"/>
      <c r="G99" s="241" t="s">
        <v>2</v>
      </c>
      <c r="H99" s="241"/>
      <c r="I99" s="241"/>
      <c r="J99"/>
      <c r="K99"/>
      <c r="L99"/>
      <c r="M99"/>
    </row>
    <row r="100" spans="1:13" x14ac:dyDescent="0.25">
      <c r="A100" s="7" t="s">
        <v>323</v>
      </c>
      <c r="B100" s="252"/>
      <c r="C100" s="24"/>
      <c r="D100" s="252"/>
      <c r="E100" s="261"/>
      <c r="F100" s="259">
        <f>IF(SUM(E101:E102),SUM(E101:E102)/E104,0)</f>
        <v>0</v>
      </c>
      <c r="G100" s="241" t="s">
        <v>2</v>
      </c>
      <c r="H100" s="241"/>
      <c r="I100" s="241"/>
      <c r="J100"/>
      <c r="K100"/>
      <c r="L100"/>
      <c r="M100"/>
    </row>
    <row r="101" spans="1:13" x14ac:dyDescent="0.25">
      <c r="A101" s="9" t="s">
        <v>221</v>
      </c>
      <c r="B101" s="267">
        <f>(A__WA_State_Avg_Retail_Electricity__kWh*WA_Elect_MT_CO2_kWh)</f>
        <v>0</v>
      </c>
      <c r="C101" s="296">
        <f>A__WA_State_Avg_Retail_Electricity__kWh*Reference!F27</f>
        <v>0</v>
      </c>
      <c r="D101" s="267">
        <f>A__WA_State_Avg_Retail_Electricity__kWh*Reference!H27</f>
        <v>0</v>
      </c>
      <c r="E101" s="267">
        <f>B101+(C101*GWP_CH4)+(D101*GWP_N2O)</f>
        <v>0</v>
      </c>
      <c r="F101" s="245"/>
      <c r="G101" s="241" t="s">
        <v>2</v>
      </c>
      <c r="H101" s="241"/>
      <c r="I101" s="241"/>
      <c r="J101"/>
      <c r="K101"/>
      <c r="L101"/>
      <c r="M101"/>
    </row>
    <row r="102" spans="1:13" x14ac:dyDescent="0.25">
      <c r="A102" s="9" t="s">
        <v>237</v>
      </c>
      <c r="B102" s="253">
        <f>Purchased_Steam__klbs*Reference!D32</f>
        <v>0</v>
      </c>
      <c r="C102" s="114">
        <f>Purchased_Steam__klbs*Reference!F32</f>
        <v>0</v>
      </c>
      <c r="D102" s="253">
        <f>Purchased_Steam__klbs*Reference!H32</f>
        <v>0</v>
      </c>
      <c r="E102" s="253">
        <f>B102+(C102*GWP_CH4)+(D102*GWP_N2O)</f>
        <v>0</v>
      </c>
      <c r="F102" s="245"/>
      <c r="G102" s="241"/>
      <c r="H102" s="241"/>
      <c r="I102" s="241"/>
      <c r="J102"/>
      <c r="K102"/>
      <c r="L102"/>
      <c r="M102"/>
    </row>
    <row r="103" spans="1:13" x14ac:dyDescent="0.25">
      <c r="A103" s="26"/>
      <c r="B103" s="252"/>
      <c r="C103" s="24"/>
      <c r="D103" s="252"/>
      <c r="E103" s="252"/>
      <c r="F103" s="245"/>
      <c r="G103" s="241"/>
      <c r="H103" s="241"/>
      <c r="I103" s="241"/>
      <c r="J103"/>
      <c r="K103"/>
      <c r="L103"/>
      <c r="M103"/>
    </row>
    <row r="104" spans="1:13" ht="18.75" x14ac:dyDescent="0.3">
      <c r="A104" s="113" t="s">
        <v>72</v>
      </c>
      <c r="B104" s="297">
        <f>SUM(B95:B102)</f>
        <v>0</v>
      </c>
      <c r="C104" s="295">
        <f>SUM(C95:C102)</f>
        <v>0</v>
      </c>
      <c r="D104" s="297">
        <f>SUM(D95:D102)</f>
        <v>0</v>
      </c>
      <c r="E104" s="297">
        <f>SUM(E95:E102)</f>
        <v>0</v>
      </c>
      <c r="F104" s="245"/>
      <c r="G104" s="241"/>
      <c r="H104" s="241"/>
      <c r="I104" s="241"/>
      <c r="J104"/>
      <c r="K104"/>
      <c r="L104"/>
      <c r="M104"/>
    </row>
    <row r="105" spans="1:13" x14ac:dyDescent="0.25">
      <c r="A105"/>
      <c r="B105" s="241"/>
      <c r="C105"/>
      <c r="D105" s="241"/>
      <c r="E105" s="241"/>
      <c r="F105" s="241"/>
      <c r="G105" s="241"/>
      <c r="H105" s="241"/>
      <c r="I105" s="241"/>
      <c r="J105"/>
      <c r="K105"/>
      <c r="L105"/>
      <c r="M105"/>
    </row>
    <row r="106" spans="1:13" ht="18.75" x14ac:dyDescent="0.25">
      <c r="A106" s="110" t="s">
        <v>299</v>
      </c>
      <c r="B106" s="251" t="s">
        <v>2</v>
      </c>
      <c r="C106" s="111" t="s">
        <v>2</v>
      </c>
      <c r="D106" s="251" t="s">
        <v>2</v>
      </c>
      <c r="E106" s="251" t="s">
        <v>2</v>
      </c>
      <c r="F106" s="251"/>
      <c r="G106" s="262"/>
      <c r="H106" s="251"/>
      <c r="I106" s="251"/>
      <c r="J106"/>
      <c r="K106"/>
      <c r="L106"/>
      <c r="M106"/>
    </row>
    <row r="107" spans="1:13" ht="33.75" x14ac:dyDescent="0.25">
      <c r="A107" s="1" t="s">
        <v>6</v>
      </c>
      <c r="B107" s="112" t="s">
        <v>62</v>
      </c>
      <c r="C107" s="112" t="s">
        <v>64</v>
      </c>
      <c r="D107" s="112" t="s">
        <v>66</v>
      </c>
      <c r="E107" s="112" t="s">
        <v>68</v>
      </c>
      <c r="F107" s="112" t="s">
        <v>70</v>
      </c>
      <c r="G107" s="112" t="s">
        <v>71</v>
      </c>
      <c r="H107" s="112" t="s">
        <v>324</v>
      </c>
      <c r="I107" s="112" t="s">
        <v>96</v>
      </c>
      <c r="J107" s="103" t="s">
        <v>325</v>
      </c>
      <c r="K107"/>
      <c r="L107"/>
      <c r="M107"/>
    </row>
    <row r="108" spans="1:13" x14ac:dyDescent="0.25">
      <c r="A108" s="1"/>
      <c r="B108" s="112" t="s">
        <v>63</v>
      </c>
      <c r="C108" s="112" t="s">
        <v>65</v>
      </c>
      <c r="D108" s="112" t="s">
        <v>67</v>
      </c>
      <c r="E108" s="112" t="s">
        <v>69</v>
      </c>
      <c r="F108" s="112" t="s">
        <v>63</v>
      </c>
      <c r="G108" s="112" t="s">
        <v>63</v>
      </c>
      <c r="H108" s="112" t="s">
        <v>95</v>
      </c>
      <c r="I108" s="112" t="s">
        <v>95</v>
      </c>
      <c r="J108" s="73"/>
      <c r="K108"/>
      <c r="L108"/>
      <c r="M108"/>
    </row>
    <row r="109" spans="1:13" x14ac:dyDescent="0.25">
      <c r="A109" s="7" t="s">
        <v>30</v>
      </c>
      <c r="B109" s="254"/>
      <c r="C109" s="25"/>
      <c r="D109" s="254"/>
      <c r="E109" s="254"/>
      <c r="F109" s="254"/>
      <c r="G109" s="254"/>
      <c r="H109" s="241"/>
      <c r="I109" s="241"/>
      <c r="J109" s="94">
        <f>IF(SUM(F110:F114),SUM(F110:F114)/F123,0)</f>
        <v>0</v>
      </c>
      <c r="K109"/>
      <c r="L109"/>
      <c r="M109"/>
    </row>
    <row r="110" spans="1:13" x14ac:dyDescent="0.25">
      <c r="A110" s="9" t="s">
        <v>15</v>
      </c>
      <c r="B110" s="253">
        <f>F110+G110</f>
        <v>0</v>
      </c>
      <c r="C110" s="114">
        <f>(H110*Reference!F40)+(Report!I110*Reference!F41)</f>
        <v>0</v>
      </c>
      <c r="D110" s="253">
        <f>(H110*Reference!H40)+(I110*Reference!H41)</f>
        <v>0</v>
      </c>
      <c r="E110" s="253">
        <f>B110+(C110*GWP_CH4)+(D110*GWP_N2O)</f>
        <v>0</v>
      </c>
      <c r="F110" s="263">
        <f>H110*Reference!D40</f>
        <v>0</v>
      </c>
      <c r="G110" s="263">
        <f>I110*Reference!D41</f>
        <v>0</v>
      </c>
      <c r="H110" s="263">
        <f>MVGasoline_gas_used-(MVGasoline_gas_used*C58)</f>
        <v>0</v>
      </c>
      <c r="I110" s="263">
        <f>MVGasoline_gas_used*C58</f>
        <v>0</v>
      </c>
      <c r="J110" s="73"/>
      <c r="K110"/>
      <c r="L110"/>
      <c r="M110"/>
    </row>
    <row r="111" spans="1:13" x14ac:dyDescent="0.25">
      <c r="A111" s="9" t="s">
        <v>16</v>
      </c>
      <c r="B111" s="253">
        <f t="shared" ref="B111:B114" si="0">F111+G111</f>
        <v>0</v>
      </c>
      <c r="C111" s="114">
        <f>(H111*Reference!F42)+(Report!I111*Reference!F43)</f>
        <v>0</v>
      </c>
      <c r="D111" s="253">
        <f>(H111*Reference!H42)+(I111*Reference!H43)</f>
        <v>0</v>
      </c>
      <c r="E111" s="253">
        <f>B111+(C111*GWP_CH4)+(D111*GWP_N2O)</f>
        <v>0</v>
      </c>
      <c r="F111" s="263">
        <f>H111*Reference!D42</f>
        <v>0</v>
      </c>
      <c r="G111" s="263">
        <f>I111*B100_CO2_MT_gal</f>
        <v>0</v>
      </c>
      <c r="H111" s="263">
        <f>MVDieselRetail_gals_used-(MVDieselRetail_gals_used*C59)</f>
        <v>0</v>
      </c>
      <c r="I111" s="263">
        <f>MVDieselRetail_gals_used*C59</f>
        <v>0</v>
      </c>
      <c r="J111" s="73"/>
      <c r="K111"/>
      <c r="L111"/>
      <c r="M111"/>
    </row>
    <row r="112" spans="1:13" x14ac:dyDescent="0.25">
      <c r="A112" s="9" t="s">
        <v>17</v>
      </c>
      <c r="B112" s="267">
        <f t="shared" si="0"/>
        <v>0</v>
      </c>
      <c r="C112" s="114">
        <f>(H112*Reference!F42)+(Report!I112*Reference!F3)</f>
        <v>0</v>
      </c>
      <c r="D112" s="253">
        <f>(H112*Reference!H42)+(I112*Reference!H43)</f>
        <v>0</v>
      </c>
      <c r="E112" s="253">
        <f>B112+(C112*GWP_CH4)+(D112*GWP_N2O)</f>
        <v>0</v>
      </c>
      <c r="F112" s="265">
        <f>H112*Reference!D42</f>
        <v>0</v>
      </c>
      <c r="G112" s="265">
        <f>I112*B100_CO2_MT_gal</f>
        <v>0</v>
      </c>
      <c r="H112" s="266">
        <f>(MVDieselWSDOT_gals_used-(MVDieselWSDOT_gals_used*C60))</f>
        <v>0</v>
      </c>
      <c r="I112" s="263">
        <f>MVDieselWSDOT_gals_used*C60</f>
        <v>0</v>
      </c>
      <c r="J112" s="268"/>
      <c r="K112"/>
      <c r="L112"/>
      <c r="M112"/>
    </row>
    <row r="113" spans="1:13" x14ac:dyDescent="0.25">
      <c r="A113" s="9" t="s">
        <v>18</v>
      </c>
      <c r="B113" s="253">
        <f t="shared" si="0"/>
        <v>0</v>
      </c>
      <c r="C113" s="114">
        <f>(H113*Reference!F42)+(Report!I113*Reference!F43)</f>
        <v>0</v>
      </c>
      <c r="D113" s="253">
        <f>(H113*Reference!H42)+(I113*Reference!H43)</f>
        <v>0</v>
      </c>
      <c r="E113" s="253">
        <f>B113+(C113*GWP_CH4)+(D113*GWP_N2O)</f>
        <v>0</v>
      </c>
      <c r="F113" s="263">
        <f>H113*Reference!D42</f>
        <v>0</v>
      </c>
      <c r="G113" s="263">
        <f>I113*B100_CO2_MT_gal</f>
        <v>0</v>
      </c>
      <c r="H113" s="263">
        <f>MVDieselBulk_gals_used-(MVDieselBulk_gals_used*C61)</f>
        <v>0</v>
      </c>
      <c r="I113" s="263">
        <f>MVDieselBulk_gals_used*C61</f>
        <v>0</v>
      </c>
      <c r="J113" s="73"/>
      <c r="K113"/>
      <c r="L113"/>
      <c r="M113"/>
    </row>
    <row r="114" spans="1:13" x14ac:dyDescent="0.25">
      <c r="A114" s="9" t="s">
        <v>19</v>
      </c>
      <c r="B114" s="253">
        <f t="shared" si="0"/>
        <v>0</v>
      </c>
      <c r="C114" s="114">
        <f>(H114*Reference!F44)</f>
        <v>0</v>
      </c>
      <c r="D114" s="253">
        <f>(H114*Reference!H44)</f>
        <v>0</v>
      </c>
      <c r="E114" s="253">
        <f>B114+(C114*GWP_CH4)+(D114*GWP_N2O)</f>
        <v>0</v>
      </c>
      <c r="F114" s="263">
        <f>H114*Reference!D44</f>
        <v>0</v>
      </c>
      <c r="G114" s="263"/>
      <c r="H114" s="263">
        <f>MVPropane_gals_used-(MVPropane_gals_used*C62)</f>
        <v>0</v>
      </c>
      <c r="I114" s="263">
        <f>MVPropane_gals_used*C62</f>
        <v>0</v>
      </c>
      <c r="J114" s="73"/>
      <c r="K114"/>
      <c r="L114"/>
      <c r="M114"/>
    </row>
    <row r="115" spans="1:13" x14ac:dyDescent="0.25">
      <c r="A115" s="7" t="s">
        <v>20</v>
      </c>
      <c r="B115" s="255"/>
      <c r="C115" s="115"/>
      <c r="D115" s="255"/>
      <c r="E115" s="255"/>
      <c r="F115" s="255"/>
      <c r="G115" s="255"/>
      <c r="H115" s="255"/>
      <c r="I115" s="255"/>
      <c r="J115" s="94">
        <f>IF(SUM(E116:E117),SUM(E116:E117)/E123,0)</f>
        <v>0</v>
      </c>
      <c r="K115"/>
      <c r="L115"/>
      <c r="M115"/>
    </row>
    <row r="116" spans="1:13" x14ac:dyDescent="0.25">
      <c r="A116" s="9" t="s">
        <v>15</v>
      </c>
      <c r="B116" s="253">
        <f t="shared" ref="B116:B122" si="1">F116+G116</f>
        <v>0</v>
      </c>
      <c r="C116" s="114">
        <f>(H116*Reference!F40)+(Report!I116*Reference!F41)</f>
        <v>0</v>
      </c>
      <c r="D116" s="253">
        <f>(H116*Reference!H40)+(I116*Reference!H41)</f>
        <v>0</v>
      </c>
      <c r="E116" s="253">
        <f>B116+(C116*GWP_CH4)+(D116*GWP_N2O)</f>
        <v>0</v>
      </c>
      <c r="F116" s="263">
        <f>H116*Reference!D40</f>
        <v>0</v>
      </c>
      <c r="G116" s="263">
        <f>I116*Reference!D41</f>
        <v>0</v>
      </c>
      <c r="H116" s="263">
        <f>B66-(B66*C66)</f>
        <v>0</v>
      </c>
      <c r="I116" s="263">
        <f>B66*C66</f>
        <v>0</v>
      </c>
      <c r="J116" s="73"/>
      <c r="K116"/>
      <c r="L116"/>
      <c r="M116"/>
    </row>
    <row r="117" spans="1:13" x14ac:dyDescent="0.25">
      <c r="A117" s="9" t="s">
        <v>21</v>
      </c>
      <c r="B117" s="253">
        <f t="shared" si="1"/>
        <v>0</v>
      </c>
      <c r="C117" s="114">
        <f>(H117*Reference!F42)+(Report!I117*Reference!F43)</f>
        <v>0</v>
      </c>
      <c r="D117" s="253">
        <f>(H117*Reference!H42)+(I117*Reference!H43)</f>
        <v>0</v>
      </c>
      <c r="E117" s="253">
        <f>B117+(C117*GWP_CH4)+(D117*GWP_N2O)</f>
        <v>0</v>
      </c>
      <c r="F117" s="263">
        <f>H117*Reference!D42</f>
        <v>0</v>
      </c>
      <c r="G117" s="263">
        <f>I117*B100_CO2_MT_gal</f>
        <v>0</v>
      </c>
      <c r="H117" s="263">
        <f>B67-(B67*C67)</f>
        <v>0</v>
      </c>
      <c r="I117" s="263">
        <f>B67*C67</f>
        <v>0</v>
      </c>
      <c r="J117" s="73"/>
      <c r="K117"/>
      <c r="L117"/>
      <c r="M117"/>
    </row>
    <row r="118" spans="1:13" x14ac:dyDescent="0.25">
      <c r="A118" s="7" t="s">
        <v>22</v>
      </c>
      <c r="B118" s="255"/>
      <c r="C118" s="115"/>
      <c r="D118" s="255"/>
      <c r="E118" s="255"/>
      <c r="F118" s="255"/>
      <c r="G118" s="255"/>
      <c r="H118" s="255"/>
      <c r="I118" s="255"/>
      <c r="J118" s="94">
        <f>IF(E119,E119/E123,0)</f>
        <v>0</v>
      </c>
      <c r="K118"/>
      <c r="L118"/>
      <c r="M118"/>
    </row>
    <row r="119" spans="1:13" x14ac:dyDescent="0.25">
      <c r="A119" s="9" t="s">
        <v>21</v>
      </c>
      <c r="B119" s="253">
        <f t="shared" si="1"/>
        <v>0</v>
      </c>
      <c r="C119" s="203">
        <f>(H119*Reference!F42)*(I119*Reference!F43)</f>
        <v>0</v>
      </c>
      <c r="D119" s="264">
        <f>(H119*Reference!H42)*(I119*Reference!H43)</f>
        <v>0</v>
      </c>
      <c r="E119" s="253">
        <f>B119+(C119*GWP_CH4)+(D119*GWP_N2O)</f>
        <v>0</v>
      </c>
      <c r="F119" s="253">
        <f>H119*Reference!D42</f>
        <v>0</v>
      </c>
      <c r="G119" s="253">
        <f>I119*B100_CO2_MT_gal</f>
        <v>0</v>
      </c>
      <c r="H119" s="263">
        <f>B71-(B71*C71)</f>
        <v>0</v>
      </c>
      <c r="I119" s="263">
        <f>Fleet_Diesel_Ferries_used*C71</f>
        <v>0</v>
      </c>
      <c r="J119" s="73"/>
      <c r="K119"/>
      <c r="L119"/>
      <c r="M119"/>
    </row>
    <row r="120" spans="1:13" x14ac:dyDescent="0.25">
      <c r="A120" s="7" t="s">
        <v>23</v>
      </c>
      <c r="B120" s="255"/>
      <c r="C120" s="115"/>
      <c r="D120" s="255"/>
      <c r="E120" s="255"/>
      <c r="F120" s="255"/>
      <c r="G120" s="255"/>
      <c r="H120" s="255"/>
      <c r="I120" s="255"/>
      <c r="J120" s="94">
        <f>IF(SUM(F121:F122),SUM(F121:F122)/F123,0)</f>
        <v>0</v>
      </c>
      <c r="K120"/>
      <c r="L120"/>
      <c r="M120"/>
    </row>
    <row r="121" spans="1:13" x14ac:dyDescent="0.25">
      <c r="A121" s="9" t="s">
        <v>24</v>
      </c>
      <c r="B121" s="253">
        <f t="shared" si="1"/>
        <v>0</v>
      </c>
      <c r="C121" s="114">
        <f>(H121*Reference!F45)+(I121*Reference!F41)</f>
        <v>0</v>
      </c>
      <c r="D121" s="253">
        <f>(H121*Reference!H45)+(I121*Reference!H41)</f>
        <v>0</v>
      </c>
      <c r="E121" s="253">
        <f>B121+(C121*GWP_CH4)+(D121*GWP_N2O)</f>
        <v>0</v>
      </c>
      <c r="F121" s="263">
        <f>H121*Reference!D45</f>
        <v>0</v>
      </c>
      <c r="G121" s="263"/>
      <c r="H121" s="263">
        <f>B75-(B75*C75)</f>
        <v>0</v>
      </c>
      <c r="I121" s="263">
        <f>AvGas_used*C75</f>
        <v>0</v>
      </c>
      <c r="J121" s="73"/>
      <c r="K121"/>
      <c r="L121"/>
      <c r="M121"/>
    </row>
    <row r="122" spans="1:13" x14ac:dyDescent="0.25">
      <c r="A122" s="9" t="s">
        <v>25</v>
      </c>
      <c r="B122" s="253">
        <f t="shared" si="1"/>
        <v>0</v>
      </c>
      <c r="C122" s="114">
        <f>(H122*Reference!F46)</f>
        <v>0</v>
      </c>
      <c r="D122" s="253">
        <f>(H122*Reference!H46)</f>
        <v>0</v>
      </c>
      <c r="E122" s="253">
        <f>B122+(C122*GWP_CH4)+(D122*GWP_N2O)</f>
        <v>0</v>
      </c>
      <c r="F122" s="263">
        <f>H122*Reference!D46</f>
        <v>0</v>
      </c>
      <c r="G122" s="263"/>
      <c r="H122" s="263">
        <f>B76-(B76*C76)</f>
        <v>0</v>
      </c>
      <c r="I122" s="263">
        <f>B76*C76</f>
        <v>0</v>
      </c>
      <c r="J122" s="73"/>
      <c r="K122"/>
      <c r="L122"/>
      <c r="M122"/>
    </row>
    <row r="123" spans="1:13" ht="18.75" x14ac:dyDescent="0.25">
      <c r="A123" s="116" t="s">
        <v>201</v>
      </c>
      <c r="B123" s="256">
        <f>SUM(B110:B122)</f>
        <v>0</v>
      </c>
      <c r="C123" s="117">
        <f t="shared" ref="C123:I123" si="2">SUM(C110:C122)</f>
        <v>0</v>
      </c>
      <c r="D123" s="256">
        <f t="shared" si="2"/>
        <v>0</v>
      </c>
      <c r="E123" s="256">
        <f t="shared" si="2"/>
        <v>0</v>
      </c>
      <c r="F123" s="256">
        <f t="shared" si="2"/>
        <v>0</v>
      </c>
      <c r="G123" s="256">
        <f t="shared" si="2"/>
        <v>0</v>
      </c>
      <c r="H123" s="256">
        <f t="shared" si="2"/>
        <v>0</v>
      </c>
      <c r="I123" s="256">
        <f t="shared" si="2"/>
        <v>0</v>
      </c>
      <c r="J123" s="73"/>
      <c r="K123"/>
      <c r="L123"/>
      <c r="M123"/>
    </row>
    <row r="124" spans="1:13" x14ac:dyDescent="0.25">
      <c r="A124"/>
      <c r="B124" s="241"/>
      <c r="C124"/>
      <c r="D124" s="241"/>
      <c r="E124" s="241"/>
      <c r="F124" s="241"/>
      <c r="G124" s="241"/>
      <c r="H124" s="241"/>
      <c r="I124" s="241"/>
      <c r="J124"/>
      <c r="K124"/>
      <c r="L124"/>
      <c r="M124"/>
    </row>
    <row r="125" spans="1:13" x14ac:dyDescent="0.25">
      <c r="A125"/>
      <c r="B125" s="241"/>
      <c r="C125"/>
      <c r="D125" s="241"/>
      <c r="E125" s="241"/>
      <c r="F125" s="241"/>
      <c r="G125" s="241"/>
      <c r="H125" s="241"/>
      <c r="I125" s="241"/>
      <c r="J125"/>
      <c r="K125"/>
      <c r="L125"/>
      <c r="M125"/>
    </row>
    <row r="126" spans="1:13" x14ac:dyDescent="0.25">
      <c r="A126"/>
      <c r="B126" s="241"/>
      <c r="C126"/>
      <c r="D126" s="241"/>
      <c r="E126" s="241"/>
      <c r="F126" s="241"/>
      <c r="G126" s="241"/>
      <c r="H126" s="241"/>
      <c r="I126" s="241"/>
      <c r="J126"/>
      <c r="K126"/>
      <c r="L126"/>
      <c r="M126"/>
    </row>
    <row r="127" spans="1:13" x14ac:dyDescent="0.25">
      <c r="A127"/>
      <c r="B127" s="241"/>
      <c r="C127"/>
      <c r="D127" s="241"/>
      <c r="E127" s="241"/>
      <c r="F127" s="241"/>
      <c r="G127" s="241"/>
      <c r="H127" s="241"/>
      <c r="I127" s="241"/>
      <c r="J127"/>
      <c r="K127"/>
      <c r="L127"/>
      <c r="M127"/>
    </row>
    <row r="128" spans="1:13" x14ac:dyDescent="0.25">
      <c r="A128"/>
      <c r="B128" s="241"/>
      <c r="C128"/>
      <c r="D128" s="241"/>
      <c r="E128" s="241"/>
      <c r="F128" s="241"/>
      <c r="G128" s="241"/>
      <c r="H128" s="241"/>
      <c r="I128" s="241"/>
      <c r="J128"/>
      <c r="K128"/>
      <c r="L128"/>
      <c r="M128"/>
    </row>
    <row r="129" spans="1:13" x14ac:dyDescent="0.25">
      <c r="A129"/>
      <c r="B129" s="241"/>
      <c r="C129"/>
      <c r="D129" s="241"/>
      <c r="E129" s="241"/>
      <c r="F129" s="241"/>
      <c r="G129" s="241"/>
      <c r="H129" s="241"/>
      <c r="I129" s="241"/>
      <c r="J129"/>
      <c r="K129"/>
      <c r="L129"/>
      <c r="M129"/>
    </row>
    <row r="130" spans="1:13" x14ac:dyDescent="0.25">
      <c r="A130"/>
      <c r="B130" s="241"/>
      <c r="C130"/>
      <c r="D130" s="241"/>
      <c r="E130" s="241"/>
      <c r="F130" s="241"/>
      <c r="G130" s="241"/>
      <c r="H130" s="241"/>
      <c r="I130" s="241"/>
      <c r="J130"/>
      <c r="K130"/>
      <c r="L130"/>
      <c r="M130"/>
    </row>
    <row r="131" spans="1:13" x14ac:dyDescent="0.25">
      <c r="A131"/>
      <c r="B131" s="241"/>
      <c r="C131"/>
      <c r="D131" s="241"/>
      <c r="E131" s="241"/>
      <c r="F131" s="241"/>
      <c r="G131" s="241"/>
      <c r="H131" s="241"/>
      <c r="I131" s="241"/>
      <c r="J131"/>
      <c r="K131"/>
      <c r="L131"/>
      <c r="M131"/>
    </row>
    <row r="132" spans="1:13" x14ac:dyDescent="0.25">
      <c r="A132"/>
      <c r="B132" s="241"/>
      <c r="C132"/>
      <c r="D132" s="241"/>
      <c r="E132" s="241"/>
      <c r="F132" s="241"/>
      <c r="G132" s="241"/>
      <c r="H132" s="241"/>
      <c r="I132" s="241"/>
      <c r="J132"/>
      <c r="K132"/>
      <c r="L132"/>
      <c r="M132"/>
    </row>
    <row r="133" spans="1:13" x14ac:dyDescent="0.25">
      <c r="A133"/>
      <c r="B133" s="241"/>
      <c r="C133"/>
      <c r="D133" s="241"/>
      <c r="E133" s="241"/>
      <c r="F133" s="241"/>
      <c r="G133" s="241"/>
      <c r="H133" s="241"/>
      <c r="I133" s="241"/>
      <c r="J133"/>
      <c r="K133"/>
      <c r="L133"/>
      <c r="M133"/>
    </row>
    <row r="134" spans="1:13" x14ac:dyDescent="0.25">
      <c r="A134"/>
      <c r="B134" s="241"/>
      <c r="C134"/>
      <c r="D134" s="241"/>
      <c r="E134" s="241"/>
      <c r="F134" s="241"/>
      <c r="G134" s="241"/>
      <c r="H134" s="241"/>
      <c r="I134" s="241"/>
      <c r="J134"/>
      <c r="K134"/>
      <c r="L134"/>
      <c r="M134"/>
    </row>
    <row r="135" spans="1:13" x14ac:dyDescent="0.25">
      <c r="A135"/>
      <c r="B135" s="241"/>
      <c r="C135"/>
      <c r="D135" s="241"/>
      <c r="E135" s="241"/>
      <c r="F135" s="241"/>
      <c r="G135" s="241"/>
      <c r="H135" s="241"/>
      <c r="I135" s="241"/>
      <c r="J135"/>
      <c r="K135"/>
      <c r="L135"/>
      <c r="M135"/>
    </row>
  </sheetData>
  <mergeCells count="22">
    <mergeCell ref="A54:F54"/>
    <mergeCell ref="E34:I34"/>
    <mergeCell ref="E46:I46"/>
    <mergeCell ref="E31:I31"/>
    <mergeCell ref="E39:I43"/>
    <mergeCell ref="E49:I49"/>
    <mergeCell ref="A1:C1"/>
    <mergeCell ref="A78:F79"/>
    <mergeCell ref="A80:I82"/>
    <mergeCell ref="E57:I62"/>
    <mergeCell ref="E66:I67"/>
    <mergeCell ref="E70:I71"/>
    <mergeCell ref="D57:D62"/>
    <mergeCell ref="D66:D67"/>
    <mergeCell ref="D70:D71"/>
    <mergeCell ref="D75:D76"/>
    <mergeCell ref="E75:I76"/>
    <mergeCell ref="D5:I11"/>
    <mergeCell ref="E17:I21"/>
    <mergeCell ref="E27:I27"/>
    <mergeCell ref="A14:D14"/>
    <mergeCell ref="D17:D21"/>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3AC81-BDE5-4BAD-AAE7-B9F379539682}">
  <sheetPr>
    <tabColor theme="8" tint="0.59999389629810485"/>
  </sheetPr>
  <dimension ref="A1:E72"/>
  <sheetViews>
    <sheetView workbookViewId="0"/>
  </sheetViews>
  <sheetFormatPr defaultRowHeight="15" x14ac:dyDescent="0.25"/>
  <cols>
    <col min="1" max="1" width="57.140625" customWidth="1"/>
    <col min="2" max="5" width="15.5703125" style="284" customWidth="1"/>
  </cols>
  <sheetData>
    <row r="1" spans="1:5" ht="37.5" customHeight="1" x14ac:dyDescent="0.4">
      <c r="A1" s="286" t="s">
        <v>492</v>
      </c>
    </row>
    <row r="2" spans="1:5" x14ac:dyDescent="0.25">
      <c r="A2" t="s">
        <v>419</v>
      </c>
      <c r="B2" s="284" t="s">
        <v>420</v>
      </c>
      <c r="C2" s="284" t="s">
        <v>421</v>
      </c>
      <c r="D2" s="288" t="s">
        <v>422</v>
      </c>
      <c r="E2" s="284" t="s">
        <v>423</v>
      </c>
    </row>
    <row r="3" spans="1:5" x14ac:dyDescent="0.25">
      <c r="A3" t="s">
        <v>424</v>
      </c>
      <c r="D3" s="288">
        <v>585.58500000000004</v>
      </c>
      <c r="E3" s="284">
        <v>585.58500000000004</v>
      </c>
    </row>
    <row r="4" spans="1:5" x14ac:dyDescent="0.25">
      <c r="A4" t="s">
        <v>425</v>
      </c>
      <c r="C4" s="284">
        <v>14276.468000000001</v>
      </c>
      <c r="D4" s="288">
        <v>153875.571</v>
      </c>
      <c r="E4" s="284">
        <v>168152.03899999999</v>
      </c>
    </row>
    <row r="5" spans="1:5" x14ac:dyDescent="0.25">
      <c r="A5" t="s">
        <v>426</v>
      </c>
      <c r="C5" s="284">
        <v>348.298</v>
      </c>
      <c r="D5" s="288">
        <v>1302.8510000000001</v>
      </c>
      <c r="E5" s="284">
        <v>1651.1489999999999</v>
      </c>
    </row>
    <row r="6" spans="1:5" x14ac:dyDescent="0.25">
      <c r="A6" t="s">
        <v>427</v>
      </c>
      <c r="D6" s="288">
        <v>16369.331</v>
      </c>
      <c r="E6" s="284">
        <v>16369.331</v>
      </c>
    </row>
    <row r="7" spans="1:5" x14ac:dyDescent="0.25">
      <c r="A7" t="s">
        <v>428</v>
      </c>
      <c r="B7" s="284">
        <v>17.611999999999998</v>
      </c>
      <c r="D7" s="288">
        <v>912.96</v>
      </c>
      <c r="E7" s="284">
        <v>930.572</v>
      </c>
    </row>
    <row r="8" spans="1:5" x14ac:dyDescent="0.25">
      <c r="A8" t="s">
        <v>429</v>
      </c>
      <c r="D8" s="288">
        <v>4883.1289999999999</v>
      </c>
      <c r="E8" s="284">
        <v>4883.1289999999999</v>
      </c>
    </row>
    <row r="9" spans="1:5" x14ac:dyDescent="0.25">
      <c r="A9" t="s">
        <v>430</v>
      </c>
      <c r="D9" s="288">
        <v>3883.7730000000001</v>
      </c>
      <c r="E9" s="284">
        <v>3883.7730000000001</v>
      </c>
    </row>
    <row r="10" spans="1:5" x14ac:dyDescent="0.25">
      <c r="A10" t="s">
        <v>431</v>
      </c>
      <c r="D10" s="288">
        <v>630.94899999999996</v>
      </c>
      <c r="E10" s="284">
        <v>630.94899999999996</v>
      </c>
    </row>
    <row r="11" spans="1:5" x14ac:dyDescent="0.25">
      <c r="A11" t="s">
        <v>432</v>
      </c>
      <c r="D11" s="288">
        <v>1293.8579999999999</v>
      </c>
      <c r="E11" s="284">
        <v>1293.8579999999999</v>
      </c>
    </row>
    <row r="12" spans="1:5" x14ac:dyDescent="0.25">
      <c r="A12" t="s">
        <v>433</v>
      </c>
      <c r="C12" s="284">
        <v>13.945</v>
      </c>
      <c r="D12" s="288">
        <v>2143.9870000000001</v>
      </c>
      <c r="E12" s="284">
        <v>2157.9319999999998</v>
      </c>
    </row>
    <row r="13" spans="1:5" x14ac:dyDescent="0.25">
      <c r="A13" t="s">
        <v>434</v>
      </c>
      <c r="D13" s="288">
        <v>325.15100000000001</v>
      </c>
      <c r="E13" s="284">
        <v>325.15100000000001</v>
      </c>
    </row>
    <row r="14" spans="1:5" x14ac:dyDescent="0.25">
      <c r="A14" t="s">
        <v>435</v>
      </c>
      <c r="D14" s="288">
        <v>721.04200000000003</v>
      </c>
      <c r="E14" s="284">
        <v>721.04200000000003</v>
      </c>
    </row>
    <row r="15" spans="1:5" x14ac:dyDescent="0.25">
      <c r="A15" t="s">
        <v>436</v>
      </c>
      <c r="C15" s="284">
        <v>684.72299999999996</v>
      </c>
      <c r="D15" s="288">
        <v>5812.3760000000002</v>
      </c>
      <c r="E15" s="284">
        <v>6497.0990000000002</v>
      </c>
    </row>
    <row r="16" spans="1:5" x14ac:dyDescent="0.25">
      <c r="A16" t="s">
        <v>437</v>
      </c>
      <c r="D16" s="288">
        <v>987.75099999999998</v>
      </c>
      <c r="E16" s="284">
        <v>987.75099999999998</v>
      </c>
    </row>
    <row r="17" spans="1:5" x14ac:dyDescent="0.25">
      <c r="A17" t="s">
        <v>438</v>
      </c>
      <c r="D17" s="288">
        <v>174.30600000000001</v>
      </c>
      <c r="E17" s="284">
        <v>174.30600000000001</v>
      </c>
    </row>
    <row r="18" spans="1:5" x14ac:dyDescent="0.25">
      <c r="A18" t="s">
        <v>439</v>
      </c>
      <c r="D18" s="288">
        <v>267.81400000000002</v>
      </c>
      <c r="E18" s="284">
        <v>267.81400000000002</v>
      </c>
    </row>
    <row r="19" spans="1:5" x14ac:dyDescent="0.25">
      <c r="A19" t="s">
        <v>440</v>
      </c>
      <c r="C19" s="284">
        <v>2092.7269999999999</v>
      </c>
      <c r="D19" s="288">
        <v>260933.58900000001</v>
      </c>
      <c r="E19" s="284">
        <v>263026.31599999999</v>
      </c>
    </row>
    <row r="20" spans="1:5" x14ac:dyDescent="0.25">
      <c r="A20" t="s">
        <v>441</v>
      </c>
      <c r="C20" s="284">
        <v>6501.2709999999997</v>
      </c>
      <c r="D20" s="288">
        <v>245910.024</v>
      </c>
      <c r="E20" s="284">
        <v>252411.29500000001</v>
      </c>
    </row>
    <row r="21" spans="1:5" x14ac:dyDescent="0.25">
      <c r="A21" t="s">
        <v>442</v>
      </c>
      <c r="C21" s="284">
        <v>4583.0339999999997</v>
      </c>
      <c r="D21" s="288">
        <v>49246.682000000001</v>
      </c>
      <c r="E21" s="284">
        <v>53829.716</v>
      </c>
    </row>
    <row r="22" spans="1:5" x14ac:dyDescent="0.25">
      <c r="A22" t="s">
        <v>443</v>
      </c>
      <c r="B22" s="284">
        <v>1264.492</v>
      </c>
      <c r="C22" s="284">
        <v>34603.995000000003</v>
      </c>
      <c r="D22" s="288">
        <v>413566.90700000001</v>
      </c>
      <c r="E22" s="284">
        <v>449435.39399999997</v>
      </c>
    </row>
    <row r="23" spans="1:5" x14ac:dyDescent="0.25">
      <c r="A23" t="s">
        <v>444</v>
      </c>
      <c r="C23" s="284">
        <v>2685.4110000000001</v>
      </c>
      <c r="D23" s="288">
        <v>16901.126</v>
      </c>
      <c r="E23" s="284">
        <v>19586.537</v>
      </c>
    </row>
    <row r="24" spans="1:5" x14ac:dyDescent="0.25">
      <c r="A24" t="s">
        <v>445</v>
      </c>
      <c r="C24" s="284">
        <v>0.7</v>
      </c>
      <c r="D24" s="288">
        <v>24212.628000000001</v>
      </c>
      <c r="E24" s="284">
        <v>24213.328000000001</v>
      </c>
    </row>
    <row r="25" spans="1:5" x14ac:dyDescent="0.25">
      <c r="A25" t="s">
        <v>446</v>
      </c>
      <c r="D25" s="288">
        <v>15494.976000000001</v>
      </c>
      <c r="E25" s="284">
        <v>15494.976000000001</v>
      </c>
    </row>
    <row r="26" spans="1:5" x14ac:dyDescent="0.25">
      <c r="A26" t="s">
        <v>447</v>
      </c>
      <c r="D26" s="288">
        <v>449.54599999999999</v>
      </c>
      <c r="E26" s="284">
        <v>449.54599999999999</v>
      </c>
    </row>
    <row r="27" spans="1:5" x14ac:dyDescent="0.25">
      <c r="A27" t="s">
        <v>448</v>
      </c>
      <c r="D27" s="288">
        <v>7424.2179999999998</v>
      </c>
      <c r="E27" s="284">
        <v>7424.2179999999998</v>
      </c>
    </row>
    <row r="28" spans="1:5" x14ac:dyDescent="0.25">
      <c r="A28" t="s">
        <v>449</v>
      </c>
      <c r="D28" s="288">
        <v>3443.143</v>
      </c>
      <c r="E28" s="284">
        <v>3443.143</v>
      </c>
    </row>
    <row r="29" spans="1:5" x14ac:dyDescent="0.25">
      <c r="A29" t="s">
        <v>450</v>
      </c>
      <c r="C29" s="284">
        <v>9836.8670000000002</v>
      </c>
      <c r="D29" s="288">
        <v>152832.747</v>
      </c>
      <c r="E29" s="284">
        <v>162669.614</v>
      </c>
    </row>
    <row r="30" spans="1:5" x14ac:dyDescent="0.25">
      <c r="A30" t="s">
        <v>451</v>
      </c>
      <c r="C30" s="284">
        <v>1691.77</v>
      </c>
      <c r="D30" s="288">
        <v>24001.938999999998</v>
      </c>
      <c r="E30" s="284">
        <v>25693.708999999999</v>
      </c>
    </row>
    <row r="31" spans="1:5" x14ac:dyDescent="0.25">
      <c r="A31" t="s">
        <v>452</v>
      </c>
      <c r="D31" s="288">
        <v>3916.5189999999998</v>
      </c>
      <c r="E31" s="284">
        <v>3916.5189999999998</v>
      </c>
    </row>
    <row r="32" spans="1:5" x14ac:dyDescent="0.25">
      <c r="A32" t="s">
        <v>453</v>
      </c>
      <c r="C32" s="284">
        <v>11781.715</v>
      </c>
      <c r="D32" s="288">
        <v>125194.79700000001</v>
      </c>
      <c r="E32" s="284">
        <v>136976.51199999999</v>
      </c>
    </row>
    <row r="33" spans="1:5" x14ac:dyDescent="0.25">
      <c r="A33" t="s">
        <v>454</v>
      </c>
      <c r="D33" s="288">
        <v>2422.5920000000001</v>
      </c>
      <c r="E33" s="284">
        <v>2422.5920000000001</v>
      </c>
    </row>
    <row r="34" spans="1:5" x14ac:dyDescent="0.25">
      <c r="A34" t="s">
        <v>455</v>
      </c>
      <c r="C34" s="284">
        <v>2020.299</v>
      </c>
      <c r="D34" s="288">
        <v>16975.842000000001</v>
      </c>
      <c r="E34" s="284">
        <v>18996.141</v>
      </c>
    </row>
    <row r="35" spans="1:5" x14ac:dyDescent="0.25">
      <c r="A35" t="s">
        <v>456</v>
      </c>
      <c r="D35" s="288">
        <v>212.495</v>
      </c>
      <c r="E35" s="284">
        <v>212.495</v>
      </c>
    </row>
    <row r="36" spans="1:5" x14ac:dyDescent="0.25">
      <c r="A36" t="s">
        <v>457</v>
      </c>
      <c r="C36" s="284">
        <v>535.72500000000002</v>
      </c>
      <c r="D36" s="288">
        <v>61810.233</v>
      </c>
      <c r="E36" s="284">
        <v>62345.957999999999</v>
      </c>
    </row>
    <row r="37" spans="1:5" x14ac:dyDescent="0.25">
      <c r="A37" t="s">
        <v>458</v>
      </c>
      <c r="D37" s="288">
        <v>2113.3939999999998</v>
      </c>
      <c r="E37" s="284">
        <v>2113.3939999999998</v>
      </c>
    </row>
    <row r="38" spans="1:5" x14ac:dyDescent="0.25">
      <c r="A38" t="s">
        <v>459</v>
      </c>
      <c r="D38" s="288">
        <v>3862.9960000000001</v>
      </c>
      <c r="E38" s="284">
        <v>3862.9960000000001</v>
      </c>
    </row>
    <row r="39" spans="1:5" x14ac:dyDescent="0.25">
      <c r="A39" t="s">
        <v>460</v>
      </c>
      <c r="C39" s="284">
        <v>403.39100000000002</v>
      </c>
      <c r="D39" s="288">
        <v>9217.7060000000001</v>
      </c>
      <c r="E39" s="284">
        <v>9621.0969999999998</v>
      </c>
    </row>
    <row r="40" spans="1:5" x14ac:dyDescent="0.25">
      <c r="A40" t="s">
        <v>461</v>
      </c>
      <c r="D40" s="288">
        <v>2558.826</v>
      </c>
      <c r="E40" s="284">
        <v>2558.826</v>
      </c>
    </row>
    <row r="41" spans="1:5" x14ac:dyDescent="0.25">
      <c r="A41" t="s">
        <v>462</v>
      </c>
      <c r="B41" s="284">
        <v>16.731000000000002</v>
      </c>
      <c r="C41" s="284">
        <v>311.54000000000002</v>
      </c>
      <c r="D41" s="288">
        <v>647.32799999999997</v>
      </c>
      <c r="E41" s="284">
        <v>975.59900000000005</v>
      </c>
    </row>
    <row r="42" spans="1:5" x14ac:dyDescent="0.25">
      <c r="A42" t="s">
        <v>463</v>
      </c>
      <c r="D42" s="288">
        <v>151.70400000000001</v>
      </c>
      <c r="E42" s="284">
        <v>151.70400000000001</v>
      </c>
    </row>
    <row r="43" spans="1:5" x14ac:dyDescent="0.25">
      <c r="A43" t="s">
        <v>464</v>
      </c>
      <c r="C43" s="284">
        <v>2017.6569999999999</v>
      </c>
      <c r="D43" s="288">
        <v>267106.61300000001</v>
      </c>
      <c r="E43" s="284">
        <v>269124.27</v>
      </c>
    </row>
    <row r="44" spans="1:5" x14ac:dyDescent="0.25">
      <c r="A44" t="s">
        <v>465</v>
      </c>
      <c r="C44" s="284">
        <v>205.471</v>
      </c>
      <c r="D44" s="288">
        <v>294.38099999999997</v>
      </c>
      <c r="E44" s="284">
        <v>499.85199999999998</v>
      </c>
    </row>
    <row r="45" spans="1:5" x14ac:dyDescent="0.25">
      <c r="A45" t="s">
        <v>466</v>
      </c>
      <c r="C45" s="284">
        <v>1149.049</v>
      </c>
      <c r="D45" s="288">
        <v>54123.650999999998</v>
      </c>
      <c r="E45" s="284">
        <v>55272.7</v>
      </c>
    </row>
    <row r="46" spans="1:5" x14ac:dyDescent="0.25">
      <c r="A46" t="s">
        <v>467</v>
      </c>
      <c r="B46" s="284">
        <v>7</v>
      </c>
      <c r="D46" s="288">
        <v>23010.737000000001</v>
      </c>
      <c r="E46" s="284">
        <v>23017.737000000001</v>
      </c>
    </row>
    <row r="47" spans="1:5" x14ac:dyDescent="0.25">
      <c r="A47" t="s">
        <v>468</v>
      </c>
      <c r="C47" s="284">
        <v>8.2010000000000005</v>
      </c>
      <c r="D47" s="288">
        <v>10933.749</v>
      </c>
      <c r="E47" s="284">
        <v>10941.95</v>
      </c>
    </row>
    <row r="48" spans="1:5" x14ac:dyDescent="0.25">
      <c r="A48" t="s">
        <v>469</v>
      </c>
      <c r="C48" s="284">
        <v>288.80500000000001</v>
      </c>
      <c r="D48" s="288">
        <v>505.62299999999999</v>
      </c>
      <c r="E48" s="284">
        <v>794.428</v>
      </c>
    </row>
    <row r="49" spans="1:5" x14ac:dyDescent="0.25">
      <c r="A49" t="s">
        <v>470</v>
      </c>
      <c r="D49" s="288">
        <v>12062.973</v>
      </c>
      <c r="E49" s="284">
        <v>12062.973</v>
      </c>
    </row>
    <row r="50" spans="1:5" x14ac:dyDescent="0.25">
      <c r="A50" t="s">
        <v>471</v>
      </c>
      <c r="D50" s="288">
        <v>87.542000000000002</v>
      </c>
      <c r="E50" s="284">
        <v>87.542000000000002</v>
      </c>
    </row>
    <row r="51" spans="1:5" x14ac:dyDescent="0.25">
      <c r="A51" t="s">
        <v>472</v>
      </c>
      <c r="C51" s="284">
        <v>653.15899999999999</v>
      </c>
      <c r="D51" s="288">
        <v>217.35</v>
      </c>
      <c r="E51" s="284">
        <v>870.50900000000001</v>
      </c>
    </row>
    <row r="52" spans="1:5" x14ac:dyDescent="0.25">
      <c r="A52" t="s">
        <v>473</v>
      </c>
      <c r="D52" s="288">
        <v>707.05700000000002</v>
      </c>
      <c r="E52" s="284">
        <v>707.05700000000002</v>
      </c>
    </row>
    <row r="53" spans="1:5" x14ac:dyDescent="0.25">
      <c r="A53" t="s">
        <v>474</v>
      </c>
      <c r="D53" s="288">
        <v>2904.2890000000002</v>
      </c>
      <c r="E53" s="284">
        <v>2904.2890000000002</v>
      </c>
    </row>
    <row r="54" spans="1:5" x14ac:dyDescent="0.25">
      <c r="A54" t="s">
        <v>475</v>
      </c>
      <c r="D54" s="288">
        <v>305.48500000000001</v>
      </c>
      <c r="E54" s="284">
        <v>305.48500000000001</v>
      </c>
    </row>
    <row r="55" spans="1:5" x14ac:dyDescent="0.25">
      <c r="A55" t="s">
        <v>476</v>
      </c>
      <c r="D55" s="288">
        <v>82.9</v>
      </c>
      <c r="E55" s="284">
        <v>82.9</v>
      </c>
    </row>
    <row r="56" spans="1:5" x14ac:dyDescent="0.25">
      <c r="A56" t="s">
        <v>477</v>
      </c>
      <c r="D56" s="288">
        <v>1171.01</v>
      </c>
      <c r="E56" s="284">
        <v>1171.01</v>
      </c>
    </row>
    <row r="57" spans="1:5" x14ac:dyDescent="0.25">
      <c r="A57" t="s">
        <v>478</v>
      </c>
      <c r="D57" s="288">
        <v>8081.1559999999999</v>
      </c>
      <c r="E57" s="284">
        <v>8081.1559999999999</v>
      </c>
    </row>
    <row r="58" spans="1:5" x14ac:dyDescent="0.25">
      <c r="A58" t="s">
        <v>479</v>
      </c>
      <c r="D58" s="288">
        <v>1077.779</v>
      </c>
      <c r="E58" s="284">
        <v>1077.779</v>
      </c>
    </row>
    <row r="59" spans="1:5" x14ac:dyDescent="0.25">
      <c r="A59" t="s">
        <v>480</v>
      </c>
      <c r="D59" s="288">
        <v>5755.2969999999996</v>
      </c>
      <c r="E59" s="284">
        <v>5755.2969999999996</v>
      </c>
    </row>
    <row r="60" spans="1:5" x14ac:dyDescent="0.25">
      <c r="A60" t="s">
        <v>481</v>
      </c>
      <c r="D60" s="288">
        <v>279.69600000000003</v>
      </c>
      <c r="E60" s="284">
        <v>279.69600000000003</v>
      </c>
    </row>
    <row r="61" spans="1:5" x14ac:dyDescent="0.25">
      <c r="A61" t="s">
        <v>482</v>
      </c>
      <c r="D61" s="288">
        <v>680.59299999999996</v>
      </c>
      <c r="E61" s="284">
        <v>680.59299999999996</v>
      </c>
    </row>
    <row r="62" spans="1:5" x14ac:dyDescent="0.25">
      <c r="A62" t="s">
        <v>483</v>
      </c>
      <c r="B62" s="284">
        <v>8.5370000000000008</v>
      </c>
      <c r="D62" s="288">
        <v>5557.3239999999996</v>
      </c>
      <c r="E62" s="284">
        <v>5565.8609999999999</v>
      </c>
    </row>
    <row r="63" spans="1:5" x14ac:dyDescent="0.25">
      <c r="A63" t="s">
        <v>484</v>
      </c>
      <c r="D63" s="288">
        <v>40.965000000000003</v>
      </c>
      <c r="E63" s="284">
        <v>40.965000000000003</v>
      </c>
    </row>
    <row r="64" spans="1:5" x14ac:dyDescent="0.25">
      <c r="A64" t="s">
        <v>485</v>
      </c>
      <c r="D64" s="288">
        <v>5507.3739999999998</v>
      </c>
      <c r="E64" s="284">
        <v>5507.3739999999998</v>
      </c>
    </row>
    <row r="65" spans="1:5" x14ac:dyDescent="0.25">
      <c r="A65" t="s">
        <v>486</v>
      </c>
      <c r="D65" s="288">
        <v>1042.2460000000001</v>
      </c>
      <c r="E65" s="284">
        <v>1042.2460000000001</v>
      </c>
    </row>
    <row r="66" spans="1:5" x14ac:dyDescent="0.25">
      <c r="A66" t="s">
        <v>487</v>
      </c>
      <c r="D66" s="288">
        <v>1326.463</v>
      </c>
      <c r="E66" s="284">
        <v>1326.463</v>
      </c>
    </row>
    <row r="67" spans="1:5" x14ac:dyDescent="0.25">
      <c r="A67" t="s">
        <v>488</v>
      </c>
      <c r="D67" s="288">
        <v>14687.838</v>
      </c>
      <c r="E67" s="284">
        <v>14687.838</v>
      </c>
    </row>
    <row r="68" spans="1:5" x14ac:dyDescent="0.25">
      <c r="A68" t="s">
        <v>489</v>
      </c>
      <c r="D68" s="288">
        <v>71.972999999999999</v>
      </c>
      <c r="E68" s="284">
        <v>71.972999999999999</v>
      </c>
    </row>
    <row r="69" spans="1:5" x14ac:dyDescent="0.25">
      <c r="A69" t="s">
        <v>490</v>
      </c>
      <c r="D69" s="288">
        <v>1375.1610000000001</v>
      </c>
      <c r="E69" s="284">
        <v>1375.1610000000001</v>
      </c>
    </row>
    <row r="70" spans="1:5" x14ac:dyDescent="0.25">
      <c r="A70" t="s">
        <v>491</v>
      </c>
      <c r="D70" s="288">
        <v>1472.4269999999999</v>
      </c>
      <c r="E70" s="284">
        <v>1472.4269999999999</v>
      </c>
    </row>
    <row r="71" spans="1:5" x14ac:dyDescent="0.25">
      <c r="A71" s="283" t="s">
        <v>423</v>
      </c>
      <c r="B71" s="285">
        <v>1314.3720000000001</v>
      </c>
      <c r="C71" s="285">
        <v>96694.221000000005</v>
      </c>
      <c r="D71" s="289">
        <v>2058142.0430000008</v>
      </c>
      <c r="E71" s="285">
        <v>2156150.6359999999</v>
      </c>
    </row>
    <row r="72" spans="1:5" x14ac:dyDescent="0.25">
      <c r="E72" s="287"/>
    </row>
  </sheetData>
  <sheetProtection algorithmName="SHA-512" hashValue="IYV4JEOfZu6wP22B4/zpe9MX/PYk0fw1Ej3lLazio83p8VhViwN6cBgnMhG5EuG1FFHB0q5Yv1/Su9/iDFICvQ==" saltValue="Kq64csKOmOxT6FRNGJoIgQ==" spinCount="100000" sheet="1" objects="1" scenarios="1"/>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0" tint="-0.14999847407452621"/>
  </sheetPr>
  <dimension ref="A1:N160"/>
  <sheetViews>
    <sheetView workbookViewId="0">
      <selection activeCell="A2" sqref="A2"/>
    </sheetView>
  </sheetViews>
  <sheetFormatPr defaultColWidth="19.85546875" defaultRowHeight="15.75" x14ac:dyDescent="0.25"/>
  <cols>
    <col min="1" max="1" width="36.140625" style="121" customWidth="1"/>
    <col min="2" max="2" width="26.28515625" style="121" customWidth="1"/>
    <col min="3" max="3" width="21.28515625" style="121" customWidth="1"/>
    <col min="4" max="5" width="19.85546875" style="121"/>
    <col min="6" max="6" width="22.85546875" style="121" customWidth="1"/>
    <col min="7" max="7" width="23.28515625" style="121" customWidth="1"/>
    <col min="8" max="16384" width="19.85546875" style="121"/>
  </cols>
  <sheetData>
    <row r="1" spans="1:8" ht="23.25" x14ac:dyDescent="0.35">
      <c r="A1" s="118" t="s">
        <v>31</v>
      </c>
      <c r="B1" s="119" t="s">
        <v>2</v>
      </c>
      <c r="C1" s="120"/>
      <c r="D1" s="120"/>
      <c r="E1" s="120"/>
      <c r="F1" s="120"/>
      <c r="G1" s="120"/>
      <c r="H1" s="120"/>
    </row>
    <row r="2" spans="1:8" x14ac:dyDescent="0.25">
      <c r="D2" s="74"/>
    </row>
    <row r="3" spans="1:8" x14ac:dyDescent="0.25">
      <c r="A3" s="122" t="s">
        <v>32</v>
      </c>
      <c r="B3" s="122" t="s">
        <v>2</v>
      </c>
      <c r="D3" s="74"/>
      <c r="E3" s="74"/>
    </row>
    <row r="4" spans="1:8" x14ac:dyDescent="0.25">
      <c r="A4" s="121">
        <v>1000</v>
      </c>
      <c r="B4" s="121" t="s">
        <v>33</v>
      </c>
      <c r="D4" s="305"/>
      <c r="E4" s="74"/>
      <c r="F4" s="74"/>
    </row>
    <row r="5" spans="1:8" x14ac:dyDescent="0.25">
      <c r="A5" s="121">
        <v>0.1</v>
      </c>
      <c r="B5" s="121" t="s">
        <v>218</v>
      </c>
      <c r="C5" s="121" t="s">
        <v>2</v>
      </c>
      <c r="D5" s="123"/>
      <c r="E5" s="74"/>
    </row>
    <row r="6" spans="1:8" x14ac:dyDescent="0.25">
      <c r="A6" s="121">
        <v>2.2046199999999998</v>
      </c>
      <c r="B6" s="121" t="s">
        <v>34</v>
      </c>
      <c r="D6" s="124"/>
      <c r="E6" s="124"/>
    </row>
    <row r="7" spans="1:8" x14ac:dyDescent="0.25">
      <c r="A7" s="121">
        <v>42</v>
      </c>
      <c r="B7" s="121" t="s">
        <v>35</v>
      </c>
    </row>
    <row r="8" spans="1:8" x14ac:dyDescent="0.25">
      <c r="A8" s="121">
        <v>1000</v>
      </c>
      <c r="B8" s="121" t="s">
        <v>36</v>
      </c>
    </row>
    <row r="9" spans="1:8" x14ac:dyDescent="0.25">
      <c r="A9" s="121">
        <v>3.4119999999999999</v>
      </c>
      <c r="B9" s="121" t="s">
        <v>293</v>
      </c>
    </row>
    <row r="10" spans="1:8" x14ac:dyDescent="0.25">
      <c r="A10" s="121">
        <v>1.194</v>
      </c>
      <c r="B10" s="121" t="s">
        <v>37</v>
      </c>
    </row>
    <row r="11" spans="1:8" x14ac:dyDescent="0.25">
      <c r="A11" s="125"/>
    </row>
    <row r="12" spans="1:8" x14ac:dyDescent="0.25">
      <c r="A12" s="122" t="s">
        <v>38</v>
      </c>
      <c r="B12" s="122" t="s">
        <v>2</v>
      </c>
      <c r="C12" s="122" t="s">
        <v>2</v>
      </c>
      <c r="D12" s="122" t="s">
        <v>2</v>
      </c>
      <c r="E12" s="122" t="s">
        <v>2</v>
      </c>
      <c r="F12" s="122"/>
      <c r="G12" s="122" t="s">
        <v>2</v>
      </c>
      <c r="H12" s="122" t="s">
        <v>2</v>
      </c>
    </row>
    <row r="13" spans="1:8" s="128" customFormat="1" ht="36" x14ac:dyDescent="0.35">
      <c r="A13" s="126" t="s">
        <v>39</v>
      </c>
      <c r="B13" s="127"/>
      <c r="C13" s="127" t="s">
        <v>76</v>
      </c>
      <c r="D13" s="127" t="s">
        <v>76</v>
      </c>
      <c r="E13" s="127" t="s">
        <v>80</v>
      </c>
      <c r="F13" s="127" t="s">
        <v>241</v>
      </c>
      <c r="G13" s="127" t="s">
        <v>243</v>
      </c>
      <c r="H13" s="127" t="s">
        <v>85</v>
      </c>
    </row>
    <row r="14" spans="1:8" s="128" customFormat="1" x14ac:dyDescent="0.25">
      <c r="A14" s="126"/>
      <c r="B14" s="127"/>
      <c r="C14" s="129" t="s">
        <v>239</v>
      </c>
      <c r="D14" s="129" t="s">
        <v>240</v>
      </c>
      <c r="E14" s="129" t="s">
        <v>81</v>
      </c>
      <c r="F14" s="129" t="s">
        <v>242</v>
      </c>
      <c r="G14" s="129" t="s">
        <v>244</v>
      </c>
      <c r="H14" s="129" t="s">
        <v>245</v>
      </c>
    </row>
    <row r="15" spans="1:8" x14ac:dyDescent="0.25">
      <c r="A15" s="130" t="s">
        <v>337</v>
      </c>
      <c r="B15" s="131"/>
      <c r="C15" s="131">
        <v>52.8035</v>
      </c>
      <c r="D15" s="132">
        <f>C15*A5/A4</f>
        <v>5.2803500000000005E-3</v>
      </c>
      <c r="E15" s="131">
        <f>1*10^-3</f>
        <v>1E-3</v>
      </c>
      <c r="F15" s="133">
        <f>E15*A5/A4</f>
        <v>1.0000000000000001E-7</v>
      </c>
      <c r="G15" s="131">
        <f>1*10^-4</f>
        <v>1E-4</v>
      </c>
      <c r="H15" s="133">
        <f>G15*A5/A4</f>
        <v>1E-8</v>
      </c>
    </row>
    <row r="16" spans="1:8" x14ac:dyDescent="0.25">
      <c r="A16" s="130"/>
      <c r="B16" s="131"/>
      <c r="C16" s="131"/>
      <c r="D16" s="132"/>
      <c r="E16" s="131"/>
      <c r="F16" s="133"/>
      <c r="G16" s="131"/>
      <c r="H16" s="133"/>
    </row>
    <row r="17" spans="1:14" s="128" customFormat="1" ht="36" x14ac:dyDescent="0.35">
      <c r="A17" s="126" t="s">
        <v>228</v>
      </c>
      <c r="B17" s="127" t="s">
        <v>246</v>
      </c>
      <c r="C17" s="127" t="s">
        <v>76</v>
      </c>
      <c r="D17" s="127" t="s">
        <v>76</v>
      </c>
      <c r="E17" s="127" t="s">
        <v>80</v>
      </c>
      <c r="F17" s="127" t="s">
        <v>80</v>
      </c>
      <c r="G17" s="127" t="s">
        <v>83</v>
      </c>
      <c r="H17" s="127" t="s">
        <v>85</v>
      </c>
    </row>
    <row r="18" spans="1:14" s="128" customFormat="1" x14ac:dyDescent="0.25">
      <c r="A18" s="126"/>
      <c r="B18" s="129" t="s">
        <v>75</v>
      </c>
      <c r="C18" s="129" t="s">
        <v>239</v>
      </c>
      <c r="D18" s="129" t="s">
        <v>79</v>
      </c>
      <c r="E18" s="129" t="s">
        <v>81</v>
      </c>
      <c r="F18" s="129" t="s">
        <v>82</v>
      </c>
      <c r="G18" s="129" t="s">
        <v>84</v>
      </c>
      <c r="H18" s="129" t="s">
        <v>86</v>
      </c>
    </row>
    <row r="19" spans="1:14" x14ac:dyDescent="0.25">
      <c r="A19" s="130" t="s">
        <v>40</v>
      </c>
      <c r="B19" s="134">
        <v>0.13800000000000001</v>
      </c>
      <c r="C19" s="134">
        <v>74.14</v>
      </c>
      <c r="D19" s="135">
        <f>B19*C19/$A$4</f>
        <v>1.023132E-2</v>
      </c>
      <c r="E19" s="134">
        <f>3*10^-3</f>
        <v>3.0000000000000001E-3</v>
      </c>
      <c r="F19" s="133">
        <f>B19*E19/$A$4</f>
        <v>4.1400000000000003E-7</v>
      </c>
      <c r="G19" s="134">
        <f>6*10^-4</f>
        <v>6.0000000000000006E-4</v>
      </c>
      <c r="H19" s="133">
        <f>B19*G19/$A$4</f>
        <v>8.2800000000000027E-8</v>
      </c>
    </row>
    <row r="20" spans="1:14" x14ac:dyDescent="0.25">
      <c r="A20" s="130" t="s">
        <v>19</v>
      </c>
      <c r="B20" s="134">
        <v>9.0999999999999998E-2</v>
      </c>
      <c r="C20" s="134">
        <v>62.88</v>
      </c>
      <c r="D20" s="135">
        <f>B20*C20/$A$4</f>
        <v>5.72208E-3</v>
      </c>
      <c r="E20" s="134">
        <f>3*10^-3</f>
        <v>3.0000000000000001E-3</v>
      </c>
      <c r="F20" s="133">
        <f>B20*E20/$A$4</f>
        <v>2.7300000000000002E-7</v>
      </c>
      <c r="G20" s="134">
        <f>6*10^-4</f>
        <v>6.0000000000000006E-4</v>
      </c>
      <c r="H20" s="133">
        <f>B20*G20/$A$4</f>
        <v>5.4600000000000006E-8</v>
      </c>
    </row>
    <row r="21" spans="1:14" x14ac:dyDescent="0.25">
      <c r="A21" s="130" t="s">
        <v>27</v>
      </c>
      <c r="B21" s="134">
        <v>0.13800000000000001</v>
      </c>
      <c r="C21" s="134">
        <v>74.14</v>
      </c>
      <c r="D21" s="135">
        <f>B21*C21/$A$4</f>
        <v>1.023132E-2</v>
      </c>
      <c r="E21" s="134">
        <f>3*10^-3</f>
        <v>3.0000000000000001E-3</v>
      </c>
      <c r="F21" s="133">
        <f>B21*E21/$A$4</f>
        <v>4.1400000000000003E-7</v>
      </c>
      <c r="G21" s="134">
        <f>6*10^-4</f>
        <v>6.0000000000000006E-4</v>
      </c>
      <c r="H21" s="133">
        <f>B21*G21/$A$4</f>
        <v>8.2800000000000027E-8</v>
      </c>
    </row>
    <row r="22" spans="1:14" x14ac:dyDescent="0.25">
      <c r="A22" s="130" t="s">
        <v>338</v>
      </c>
      <c r="B22" s="134">
        <v>0.125</v>
      </c>
      <c r="C22" s="134">
        <v>70.66</v>
      </c>
      <c r="D22" s="135">
        <f>B22*C22/$A$4</f>
        <v>8.8325000000000001E-3</v>
      </c>
      <c r="E22" s="134">
        <f>3*10^-3</f>
        <v>3.0000000000000001E-3</v>
      </c>
      <c r="F22" s="133">
        <f>B22*E22/$A$4</f>
        <v>3.7500000000000001E-7</v>
      </c>
      <c r="G22" s="134">
        <f>6*10^-4</f>
        <v>6.0000000000000006E-4</v>
      </c>
      <c r="H22" s="133">
        <f>B22*G22/$A$4</f>
        <v>7.500000000000001E-8</v>
      </c>
    </row>
    <row r="23" spans="1:14" x14ac:dyDescent="0.25">
      <c r="A23" s="136" t="s">
        <v>229</v>
      </c>
      <c r="B23" s="134"/>
      <c r="C23" s="134" t="s">
        <v>2</v>
      </c>
      <c r="D23" s="133" t="s">
        <v>2</v>
      </c>
      <c r="E23" s="133" t="s">
        <v>2</v>
      </c>
      <c r="F23" s="134" t="s">
        <v>2</v>
      </c>
      <c r="G23" s="134"/>
      <c r="H23" s="134"/>
    </row>
    <row r="24" spans="1:14" x14ac:dyDescent="0.25">
      <c r="A24" s="29"/>
      <c r="B24" s="134"/>
      <c r="C24" s="134"/>
      <c r="D24" s="134"/>
      <c r="E24" s="134"/>
      <c r="F24" s="134"/>
      <c r="G24" s="134"/>
      <c r="H24" s="134"/>
    </row>
    <row r="25" spans="1:14" ht="36" x14ac:dyDescent="0.35">
      <c r="A25" s="126" t="s">
        <v>28</v>
      </c>
      <c r="B25" s="127"/>
      <c r="C25" s="127" t="s">
        <v>78</v>
      </c>
      <c r="D25" s="127" t="s">
        <v>78</v>
      </c>
      <c r="E25" s="137" t="s">
        <v>80</v>
      </c>
      <c r="F25" s="137" t="s">
        <v>80</v>
      </c>
      <c r="G25" s="137" t="s">
        <v>83</v>
      </c>
      <c r="H25" s="137" t="s">
        <v>85</v>
      </c>
      <c r="K25" s="309"/>
    </row>
    <row r="26" spans="1:14" customFormat="1" ht="15.6" customHeight="1" x14ac:dyDescent="0.25">
      <c r="A26" s="138"/>
      <c r="B26" s="129"/>
      <c r="C26" s="129" t="s">
        <v>376</v>
      </c>
      <c r="D26" s="129" t="s">
        <v>87</v>
      </c>
      <c r="E26" s="129" t="s">
        <v>88</v>
      </c>
      <c r="F26" s="129" t="s">
        <v>89</v>
      </c>
      <c r="G26" s="129" t="s">
        <v>90</v>
      </c>
      <c r="H26" s="129" t="s">
        <v>91</v>
      </c>
      <c r="J26" s="121"/>
      <c r="K26" s="121"/>
      <c r="L26" s="121"/>
      <c r="M26" s="121"/>
      <c r="N26" s="121"/>
    </row>
    <row r="27" spans="1:14" x14ac:dyDescent="0.25">
      <c r="A27" s="121" t="s">
        <v>227</v>
      </c>
      <c r="B27" s="134"/>
      <c r="C27" s="139">
        <v>0.19606700264634699</v>
      </c>
      <c r="D27" s="140">
        <f>Purchased_electricity___WA_Avg_CO2EF/$A$4</f>
        <v>1.96067002646347E-4</v>
      </c>
      <c r="E27" s="139">
        <f>M39</f>
        <v>2.5401172741301187E-2</v>
      </c>
      <c r="F27" s="133">
        <f>E27/($A$4*$A$8)</f>
        <v>2.5401172741301188E-8</v>
      </c>
      <c r="G27" s="141">
        <f>N39</f>
        <v>3.6287389630430267E-3</v>
      </c>
      <c r="H27" s="133">
        <f>G27/($A$4*$A$8)</f>
        <v>3.6287389630430266E-9</v>
      </c>
    </row>
    <row r="28" spans="1:14" x14ac:dyDescent="0.25">
      <c r="B28" s="139"/>
      <c r="C28" s="140"/>
      <c r="D28" s="139"/>
      <c r="E28" s="133"/>
      <c r="F28" s="141"/>
      <c r="G28" s="133"/>
      <c r="H28" s="142"/>
    </row>
    <row r="29" spans="1:14" x14ac:dyDescent="0.25">
      <c r="B29" s="139"/>
      <c r="C29" s="140"/>
      <c r="D29" s="139"/>
      <c r="E29" s="133"/>
      <c r="F29" s="141"/>
      <c r="G29" s="133"/>
      <c r="H29" s="142"/>
    </row>
    <row r="30" spans="1:14" s="128" customFormat="1" ht="36" x14ac:dyDescent="0.35">
      <c r="A30" s="126" t="s">
        <v>238</v>
      </c>
      <c r="B30" s="127"/>
      <c r="C30" s="127" t="s">
        <v>78</v>
      </c>
      <c r="D30" s="127" t="s">
        <v>78</v>
      </c>
      <c r="E30" s="137" t="s">
        <v>80</v>
      </c>
      <c r="F30" s="137" t="s">
        <v>80</v>
      </c>
      <c r="G30" s="137" t="s">
        <v>243</v>
      </c>
      <c r="H30" s="137" t="s">
        <v>85</v>
      </c>
      <c r="J30" s="210" t="s">
        <v>387</v>
      </c>
      <c r="K30" s="209"/>
      <c r="L30" s="209"/>
      <c r="M30" s="209"/>
      <c r="N30" s="211"/>
    </row>
    <row r="31" spans="1:14" s="128" customFormat="1" x14ac:dyDescent="0.25">
      <c r="A31" s="126"/>
      <c r="B31" s="127"/>
      <c r="C31" s="129" t="s">
        <v>239</v>
      </c>
      <c r="D31" s="129" t="s">
        <v>247</v>
      </c>
      <c r="E31" s="129" t="s">
        <v>81</v>
      </c>
      <c r="F31" s="129" t="s">
        <v>248</v>
      </c>
      <c r="G31" s="129" t="s">
        <v>244</v>
      </c>
      <c r="H31" s="129" t="s">
        <v>249</v>
      </c>
      <c r="J31" s="71" t="s">
        <v>231</v>
      </c>
      <c r="K31"/>
      <c r="L31"/>
      <c r="M31"/>
      <c r="N31" s="66"/>
    </row>
    <row r="32" spans="1:14" x14ac:dyDescent="0.25">
      <c r="A32" s="121" t="s">
        <v>29</v>
      </c>
      <c r="B32" s="134"/>
      <c r="C32" s="134">
        <v>66.33</v>
      </c>
      <c r="D32" s="134">
        <f>C32*$A$10/$A$4</f>
        <v>7.9198019999999994E-2</v>
      </c>
      <c r="E32" s="134">
        <f>1.25/$A$4</f>
        <v>1.25E-3</v>
      </c>
      <c r="F32" s="134">
        <f>E32*$A$10/$A$4</f>
        <v>1.4924999999999999E-6</v>
      </c>
      <c r="G32" s="134">
        <f>0.125/1000</f>
        <v>1.25E-4</v>
      </c>
      <c r="H32" s="134">
        <f>G32*$A$10/$A$4</f>
        <v>1.4924999999999999E-7</v>
      </c>
      <c r="J32" s="65"/>
      <c r="K32"/>
      <c r="L32"/>
      <c r="M32"/>
      <c r="N32" s="66"/>
    </row>
    <row r="33" spans="1:14" x14ac:dyDescent="0.25">
      <c r="A33" s="143"/>
      <c r="D33" s="121" t="s">
        <v>2</v>
      </c>
      <c r="E33" s="121" t="s">
        <v>2</v>
      </c>
      <c r="F33" s="121" t="s">
        <v>2</v>
      </c>
      <c r="J33" s="65"/>
      <c r="K33"/>
      <c r="L33"/>
      <c r="M33"/>
      <c r="N33" s="66"/>
    </row>
    <row r="34" spans="1:14" ht="34.5" x14ac:dyDescent="0.25">
      <c r="A34" s="144"/>
      <c r="J34" s="65"/>
      <c r="K34" s="204" t="s">
        <v>80</v>
      </c>
      <c r="L34" s="204" t="s">
        <v>83</v>
      </c>
      <c r="M34" s="204" t="s">
        <v>80</v>
      </c>
      <c r="N34" s="72" t="s">
        <v>83</v>
      </c>
    </row>
    <row r="35" spans="1:14" x14ac:dyDescent="0.25">
      <c r="A35" s="144"/>
      <c r="J35" s="65"/>
      <c r="K35" s="73" t="s">
        <v>230</v>
      </c>
      <c r="L35" s="73" t="s">
        <v>232</v>
      </c>
      <c r="M35" t="s">
        <v>233</v>
      </c>
      <c r="N35" s="66" t="s">
        <v>233</v>
      </c>
    </row>
    <row r="36" spans="1:14" x14ac:dyDescent="0.25">
      <c r="J36" s="65" t="s">
        <v>388</v>
      </c>
      <c r="K36" s="205">
        <v>5.3999999999999999E-2</v>
      </c>
      <c r="L36" s="205">
        <v>8.0000000000000002E-3</v>
      </c>
      <c r="M36" s="206">
        <f>K36/2.20462262</f>
        <v>2.449398800054043E-2</v>
      </c>
      <c r="N36" s="207">
        <f t="shared" ref="N36:N37" si="0">L36/2.20462262</f>
        <v>3.6287389630430267E-3</v>
      </c>
    </row>
    <row r="37" spans="1:14" x14ac:dyDescent="0.25">
      <c r="A37" s="122" t="s">
        <v>41</v>
      </c>
      <c r="B37" s="122" t="s">
        <v>2</v>
      </c>
      <c r="C37" s="122" t="s">
        <v>2</v>
      </c>
      <c r="D37" s="122" t="s">
        <v>2</v>
      </c>
      <c r="E37" s="122" t="s">
        <v>2</v>
      </c>
      <c r="F37" s="122"/>
      <c r="G37" s="122" t="s">
        <v>2</v>
      </c>
      <c r="H37" s="145"/>
      <c r="J37" s="65" t="s">
        <v>389</v>
      </c>
      <c r="K37" s="205">
        <v>5.6000000000000001E-2</v>
      </c>
      <c r="L37" s="205">
        <v>8.0000000000000002E-3</v>
      </c>
      <c r="M37" s="206">
        <f>K37/2.20462262</f>
        <v>2.5401172741301187E-2</v>
      </c>
      <c r="N37" s="207">
        <f t="shared" si="0"/>
        <v>3.6287389630430267E-3</v>
      </c>
    </row>
    <row r="38" spans="1:14" s="128" customFormat="1" ht="36" x14ac:dyDescent="0.35">
      <c r="A38" s="126" t="s">
        <v>39</v>
      </c>
      <c r="B38" s="137" t="s">
        <v>74</v>
      </c>
      <c r="C38" s="137" t="s">
        <v>76</v>
      </c>
      <c r="D38" s="127" t="s">
        <v>78</v>
      </c>
      <c r="E38" s="137" t="s">
        <v>80</v>
      </c>
      <c r="F38" s="137" t="s">
        <v>80</v>
      </c>
      <c r="G38" s="137" t="s">
        <v>83</v>
      </c>
      <c r="H38" s="137" t="s">
        <v>85</v>
      </c>
      <c r="J38" s="65" t="s">
        <v>336</v>
      </c>
      <c r="K38" s="206">
        <v>5.8000000000000003E-2</v>
      </c>
      <c r="L38" s="206">
        <v>8.0000000000000002E-3</v>
      </c>
      <c r="M38" s="206">
        <f>K38/2.20462262</f>
        <v>2.6308357482061943E-2</v>
      </c>
      <c r="N38" s="207">
        <f>L38/2.20462262</f>
        <v>3.6287389630430267E-3</v>
      </c>
    </row>
    <row r="39" spans="1:14" customFormat="1" ht="15" x14ac:dyDescent="0.25">
      <c r="A39" s="138"/>
      <c r="B39" s="129" t="s">
        <v>75</v>
      </c>
      <c r="C39" s="129" t="s">
        <v>77</v>
      </c>
      <c r="D39" s="129" t="s">
        <v>79</v>
      </c>
      <c r="E39" s="129" t="s">
        <v>81</v>
      </c>
      <c r="F39" s="129" t="s">
        <v>82</v>
      </c>
      <c r="G39" s="129" t="s">
        <v>84</v>
      </c>
      <c r="H39" s="129" t="s">
        <v>86</v>
      </c>
      <c r="J39" s="67" t="s">
        <v>390</v>
      </c>
      <c r="K39" s="212">
        <f>AVERAGE(K36:K38)</f>
        <v>5.6000000000000001E-2</v>
      </c>
      <c r="L39" s="212">
        <f t="shared" ref="L39:N39" si="1">AVERAGE(L36:L38)</f>
        <v>8.0000000000000002E-3</v>
      </c>
      <c r="M39" s="212">
        <f t="shared" si="1"/>
        <v>2.5401172741301187E-2</v>
      </c>
      <c r="N39" s="212">
        <f t="shared" si="1"/>
        <v>3.6287389630430267E-3</v>
      </c>
    </row>
    <row r="40" spans="1:14" x14ac:dyDescent="0.25">
      <c r="A40" s="121" t="s">
        <v>15</v>
      </c>
      <c r="B40" s="134">
        <v>0.125</v>
      </c>
      <c r="C40" s="135">
        <v>0.36875999999999998</v>
      </c>
      <c r="D40" s="135">
        <f>C40/$A$7</f>
        <v>8.7799999999999996E-3</v>
      </c>
      <c r="E40" s="135">
        <f>3*10^-3</f>
        <v>3.0000000000000001E-3</v>
      </c>
      <c r="F40" s="133">
        <f t="shared" ref="F40:F46" si="2">B40*E40/$A$4</f>
        <v>3.7500000000000001E-7</v>
      </c>
      <c r="G40" s="141">
        <f>6*10^-4</f>
        <v>6.0000000000000006E-4</v>
      </c>
      <c r="H40" s="133">
        <f t="shared" ref="H40:H46" si="3">G40*B40/$A$4</f>
        <v>7.500000000000001E-8</v>
      </c>
      <c r="J40" s="68"/>
      <c r="K40" s="69"/>
      <c r="L40" s="69"/>
      <c r="M40" s="69"/>
      <c r="N40" s="70"/>
    </row>
    <row r="41" spans="1:14" x14ac:dyDescent="0.25">
      <c r="A41" s="121" t="s">
        <v>42</v>
      </c>
      <c r="B41" s="134">
        <v>8.4000000000000005E-2</v>
      </c>
      <c r="C41" s="135">
        <v>0.24149999999999999</v>
      </c>
      <c r="D41" s="135">
        <f t="shared" ref="D41:D46" si="4">C41/$A$7</f>
        <v>5.7499999999999999E-3</v>
      </c>
      <c r="E41" s="135">
        <f>1.1*10^-3</f>
        <v>1.1000000000000001E-3</v>
      </c>
      <c r="F41" s="133">
        <f t="shared" si="2"/>
        <v>9.2400000000000007E-8</v>
      </c>
      <c r="G41" s="141">
        <f>1.1*10^-4</f>
        <v>1.1000000000000002E-4</v>
      </c>
      <c r="H41" s="133">
        <f t="shared" si="3"/>
        <v>9.240000000000002E-9</v>
      </c>
    </row>
    <row r="42" spans="1:14" x14ac:dyDescent="0.25">
      <c r="A42" s="121" t="s">
        <v>43</v>
      </c>
      <c r="B42" s="134">
        <v>0.13800000000000001</v>
      </c>
      <c r="C42" s="135">
        <v>0.42881999999999998</v>
      </c>
      <c r="D42" s="135">
        <f t="shared" si="4"/>
        <v>1.021E-2</v>
      </c>
      <c r="E42" s="135">
        <f>3*10^-3</f>
        <v>3.0000000000000001E-3</v>
      </c>
      <c r="F42" s="133">
        <f>B42*E42/$A$4</f>
        <v>4.1400000000000003E-7</v>
      </c>
      <c r="G42" s="141">
        <f>6*10^-4</f>
        <v>6.0000000000000006E-4</v>
      </c>
      <c r="H42" s="133">
        <f t="shared" si="3"/>
        <v>8.2800000000000027E-8</v>
      </c>
    </row>
    <row r="43" spans="1:14" x14ac:dyDescent="0.25">
      <c r="A43" s="121" t="s">
        <v>44</v>
      </c>
      <c r="B43" s="134">
        <v>0.128</v>
      </c>
      <c r="C43" s="135">
        <v>0.39689999999999998</v>
      </c>
      <c r="D43" s="135">
        <f>C43/$A$7</f>
        <v>9.4500000000000001E-3</v>
      </c>
      <c r="E43" s="135">
        <f>1.1*10^-3</f>
        <v>1.1000000000000001E-3</v>
      </c>
      <c r="F43" s="133">
        <f t="shared" si="2"/>
        <v>1.4080000000000002E-7</v>
      </c>
      <c r="G43" s="141">
        <f>1.1*10^-4</f>
        <v>1.1000000000000002E-4</v>
      </c>
      <c r="H43" s="133">
        <f t="shared" si="3"/>
        <v>1.4080000000000003E-8</v>
      </c>
    </row>
    <row r="44" spans="1:14" x14ac:dyDescent="0.25">
      <c r="A44" s="121" t="s">
        <v>19</v>
      </c>
      <c r="B44" s="134">
        <v>9.0999999999999998E-2</v>
      </c>
      <c r="C44" s="135">
        <v>0.23855999999999999</v>
      </c>
      <c r="D44" s="135">
        <f t="shared" si="4"/>
        <v>5.6800000000000002E-3</v>
      </c>
      <c r="E44" s="135">
        <f>3*10^-3</f>
        <v>3.0000000000000001E-3</v>
      </c>
      <c r="F44" s="133">
        <f t="shared" si="2"/>
        <v>2.7300000000000002E-7</v>
      </c>
      <c r="G44" s="141">
        <f>6*10^-4</f>
        <v>6.0000000000000006E-4</v>
      </c>
      <c r="H44" s="133">
        <f t="shared" si="3"/>
        <v>5.4600000000000006E-8</v>
      </c>
    </row>
    <row r="45" spans="1:14" x14ac:dyDescent="0.25">
      <c r="A45" s="121" t="s">
        <v>24</v>
      </c>
      <c r="B45" s="139">
        <v>0.12</v>
      </c>
      <c r="C45" s="135">
        <v>0.34902</v>
      </c>
      <c r="D45" s="135">
        <f t="shared" si="4"/>
        <v>8.3099999999999997E-3</v>
      </c>
      <c r="E45" s="135">
        <f>3*10^-3</f>
        <v>3.0000000000000001E-3</v>
      </c>
      <c r="F45" s="133">
        <f t="shared" si="2"/>
        <v>3.5999999999999999E-7</v>
      </c>
      <c r="G45" s="141">
        <f>6*10^-4</f>
        <v>6.0000000000000006E-4</v>
      </c>
      <c r="H45" s="133">
        <f t="shared" si="3"/>
        <v>7.1999999999999996E-8</v>
      </c>
    </row>
    <row r="46" spans="1:14" x14ac:dyDescent="0.25">
      <c r="A46" s="121" t="s">
        <v>25</v>
      </c>
      <c r="B46" s="134">
        <v>0.13500000000000001</v>
      </c>
      <c r="C46" s="135">
        <v>0.40949999999999998</v>
      </c>
      <c r="D46" s="135">
        <f t="shared" si="4"/>
        <v>9.75E-3</v>
      </c>
      <c r="E46" s="135">
        <f>3*10^-3</f>
        <v>3.0000000000000001E-3</v>
      </c>
      <c r="F46" s="133">
        <f t="shared" si="2"/>
        <v>4.0500000000000004E-7</v>
      </c>
      <c r="G46" s="141">
        <f>6*10^-4</f>
        <v>6.0000000000000006E-4</v>
      </c>
      <c r="H46" s="133">
        <f t="shared" si="3"/>
        <v>8.1000000000000024E-8</v>
      </c>
    </row>
    <row r="47" spans="1:14" x14ac:dyDescent="0.25">
      <c r="A47"/>
      <c r="B47" s="121" t="s">
        <v>2</v>
      </c>
    </row>
    <row r="48" spans="1:14" x14ac:dyDescent="0.25">
      <c r="E48" s="5" t="s">
        <v>2</v>
      </c>
      <c r="F48" s="6" t="s">
        <v>2</v>
      </c>
    </row>
    <row r="49" spans="1:9" x14ac:dyDescent="0.25">
      <c r="A49" s="349" t="s">
        <v>45</v>
      </c>
      <c r="B49" s="349"/>
    </row>
    <row r="50" spans="1:9" ht="18.75" x14ac:dyDescent="0.35">
      <c r="A50" s="121" t="s">
        <v>59</v>
      </c>
      <c r="B50" s="121">
        <v>1</v>
      </c>
    </row>
    <row r="51" spans="1:9" ht="18.75" x14ac:dyDescent="0.35">
      <c r="A51" s="121" t="s">
        <v>60</v>
      </c>
      <c r="B51" s="121">
        <v>25</v>
      </c>
    </row>
    <row r="52" spans="1:9" ht="18.75" x14ac:dyDescent="0.35">
      <c r="A52" s="121" t="s">
        <v>61</v>
      </c>
      <c r="B52" s="121">
        <v>298</v>
      </c>
    </row>
    <row r="53" spans="1:9" x14ac:dyDescent="0.25">
      <c r="A53" s="238" t="s">
        <v>46</v>
      </c>
      <c r="E53"/>
      <c r="F53"/>
      <c r="G53"/>
      <c r="H53"/>
      <c r="I53"/>
    </row>
    <row r="54" spans="1:9" x14ac:dyDescent="0.25">
      <c r="A54" s="144"/>
      <c r="E54"/>
      <c r="F54"/>
      <c r="G54"/>
      <c r="H54"/>
      <c r="I54"/>
    </row>
    <row r="55" spans="1:9" x14ac:dyDescent="0.25">
      <c r="A55" s="146" t="s">
        <v>309</v>
      </c>
      <c r="B55" s="146"/>
      <c r="C55" s="16"/>
      <c r="E55"/>
      <c r="F55"/>
      <c r="G55"/>
      <c r="H55"/>
      <c r="I55"/>
    </row>
    <row r="56" spans="1:9" ht="31.5" x14ac:dyDescent="0.25">
      <c r="A56" s="128" t="s">
        <v>374</v>
      </c>
      <c r="B56" s="308">
        <v>4.29</v>
      </c>
      <c r="C56" s="121" t="s">
        <v>306</v>
      </c>
      <c r="D56" s="238" t="s">
        <v>373</v>
      </c>
      <c r="E56"/>
      <c r="F56"/>
      <c r="G56"/>
      <c r="H56"/>
      <c r="I56"/>
    </row>
    <row r="57" spans="1:9" ht="31.5" x14ac:dyDescent="0.25">
      <c r="A57" s="147" t="s">
        <v>554</v>
      </c>
      <c r="B57" s="121">
        <v>0.27</v>
      </c>
      <c r="C57" s="121" t="s">
        <v>536</v>
      </c>
      <c r="D57" s="238" t="s">
        <v>372</v>
      </c>
      <c r="E57"/>
      <c r="F57"/>
      <c r="G57"/>
      <c r="H57"/>
      <c r="I57"/>
    </row>
    <row r="58" spans="1:9" x14ac:dyDescent="0.25">
      <c r="E58"/>
      <c r="F58"/>
      <c r="G58"/>
      <c r="H58"/>
      <c r="I58"/>
    </row>
    <row r="59" spans="1:9" x14ac:dyDescent="0.25">
      <c r="D59" s="147"/>
      <c r="E59"/>
      <c r="F59"/>
      <c r="G59"/>
      <c r="H59"/>
      <c r="I59"/>
    </row>
    <row r="60" spans="1:9" x14ac:dyDescent="0.25">
      <c r="A60" s="148"/>
      <c r="E60"/>
      <c r="F60"/>
      <c r="G60"/>
      <c r="H60"/>
      <c r="I60"/>
    </row>
    <row r="61" spans="1:9" x14ac:dyDescent="0.25">
      <c r="A61" s="149" t="s">
        <v>73</v>
      </c>
      <c r="B61" s="149" t="s">
        <v>47</v>
      </c>
      <c r="C61" s="149" t="s">
        <v>143</v>
      </c>
      <c r="E61"/>
      <c r="F61"/>
      <c r="G61"/>
      <c r="H61"/>
      <c r="I61"/>
    </row>
    <row r="62" spans="1:9" x14ac:dyDescent="0.25">
      <c r="A62" s="150">
        <v>3750</v>
      </c>
      <c r="B62" s="130" t="s">
        <v>97</v>
      </c>
      <c r="C62" s="151" t="s">
        <v>142</v>
      </c>
      <c r="E62" s="147"/>
    </row>
    <row r="63" spans="1:9" x14ac:dyDescent="0.25">
      <c r="A63" s="150">
        <v>4950</v>
      </c>
      <c r="B63" s="130" t="s">
        <v>98</v>
      </c>
      <c r="C63" s="151" t="s">
        <v>121</v>
      </c>
      <c r="E63" s="147"/>
    </row>
    <row r="64" spans="1:9" x14ac:dyDescent="0.25">
      <c r="A64" s="151">
        <v>3070</v>
      </c>
      <c r="B64" s="121" t="s">
        <v>499</v>
      </c>
      <c r="C64" s="151" t="s">
        <v>500</v>
      </c>
      <c r="E64" s="147"/>
    </row>
    <row r="65" spans="1:5" x14ac:dyDescent="0.25">
      <c r="A65" s="150">
        <v>1030</v>
      </c>
      <c r="B65" s="130" t="s">
        <v>99</v>
      </c>
      <c r="C65" s="151" t="s">
        <v>122</v>
      </c>
      <c r="E65" s="147"/>
    </row>
    <row r="66" spans="1:5" x14ac:dyDescent="0.25">
      <c r="A66" s="150">
        <v>3100</v>
      </c>
      <c r="B66" s="130" t="s">
        <v>100</v>
      </c>
      <c r="C66" s="151" t="s">
        <v>123</v>
      </c>
      <c r="E66" s="147"/>
    </row>
    <row r="67" spans="1:5" x14ac:dyDescent="0.25">
      <c r="A67" s="150">
        <v>4610</v>
      </c>
      <c r="B67" s="130" t="s">
        <v>101</v>
      </c>
      <c r="C67" s="151" t="s">
        <v>124</v>
      </c>
      <c r="E67" s="147"/>
    </row>
    <row r="68" spans="1:5" x14ac:dyDescent="0.25">
      <c r="A68" s="150">
        <v>1790</v>
      </c>
      <c r="B68" s="130" t="s">
        <v>102</v>
      </c>
      <c r="C68" s="151" t="s">
        <v>125</v>
      </c>
      <c r="E68" s="147"/>
    </row>
    <row r="69" spans="1:5" x14ac:dyDescent="0.25">
      <c r="A69" s="150">
        <v>4770</v>
      </c>
      <c r="B69" s="130" t="s">
        <v>103</v>
      </c>
      <c r="C69" s="151" t="s">
        <v>126</v>
      </c>
      <c r="E69" s="147"/>
    </row>
    <row r="70" spans="1:5" x14ac:dyDescent="0.25">
      <c r="A70" s="150">
        <v>3030</v>
      </c>
      <c r="B70" s="130" t="s">
        <v>104</v>
      </c>
      <c r="C70" s="151" t="s">
        <v>127</v>
      </c>
      <c r="E70" s="147"/>
    </row>
    <row r="71" spans="1:5" x14ac:dyDescent="0.25">
      <c r="A71" s="150">
        <v>2350</v>
      </c>
      <c r="B71" s="130" t="s">
        <v>105</v>
      </c>
      <c r="C71" s="151" t="s">
        <v>494</v>
      </c>
      <c r="E71" s="147"/>
    </row>
    <row r="72" spans="1:5" x14ac:dyDescent="0.25">
      <c r="A72" s="151">
        <v>2400</v>
      </c>
      <c r="B72" s="130" t="s">
        <v>106</v>
      </c>
      <c r="C72" s="151" t="s">
        <v>128</v>
      </c>
      <c r="E72" s="147"/>
    </row>
    <row r="73" spans="1:5" x14ac:dyDescent="0.25">
      <c r="A73" s="150">
        <v>4900</v>
      </c>
      <c r="B73" s="130" t="s">
        <v>107</v>
      </c>
      <c r="C73" s="151" t="s">
        <v>129</v>
      </c>
      <c r="E73" s="147"/>
    </row>
    <row r="74" spans="1:5" x14ac:dyDescent="0.25">
      <c r="A74" s="150">
        <v>3000</v>
      </c>
      <c r="B74" s="130" t="s">
        <v>108</v>
      </c>
      <c r="C74" s="151" t="s">
        <v>130</v>
      </c>
      <c r="E74" s="147"/>
    </row>
    <row r="75" spans="1:5" x14ac:dyDescent="0.25">
      <c r="A75" s="150">
        <v>4050</v>
      </c>
      <c r="B75" s="130" t="s">
        <v>109</v>
      </c>
      <c r="C75" s="151" t="s">
        <v>131</v>
      </c>
      <c r="E75" s="147"/>
    </row>
    <row r="76" spans="1:5" x14ac:dyDescent="0.25">
      <c r="A76" s="150">
        <v>3050</v>
      </c>
      <c r="B76" s="130" t="s">
        <v>110</v>
      </c>
      <c r="C76" s="151" t="s">
        <v>132</v>
      </c>
      <c r="E76" s="147"/>
    </row>
    <row r="77" spans="1:5" x14ac:dyDescent="0.25">
      <c r="A77" s="150">
        <v>3700</v>
      </c>
      <c r="B77" s="152" t="s">
        <v>111</v>
      </c>
      <c r="C77" s="151" t="s">
        <v>133</v>
      </c>
      <c r="E77" s="147"/>
    </row>
    <row r="78" spans="1:5" x14ac:dyDescent="0.25">
      <c r="A78" s="290">
        <v>750</v>
      </c>
      <c r="B78" s="130" t="s">
        <v>495</v>
      </c>
      <c r="C78" s="151" t="s">
        <v>496</v>
      </c>
      <c r="E78" s="147"/>
    </row>
    <row r="79" spans="1:5" x14ac:dyDescent="0.25">
      <c r="A79" s="150">
        <v>6520</v>
      </c>
      <c r="B79" s="130" t="s">
        <v>112</v>
      </c>
      <c r="C79" s="151" t="s">
        <v>134</v>
      </c>
      <c r="E79" s="147"/>
    </row>
    <row r="80" spans="1:5" x14ac:dyDescent="0.25">
      <c r="A80" s="150">
        <v>1950</v>
      </c>
      <c r="B80" s="130" t="s">
        <v>113</v>
      </c>
      <c r="C80" s="151" t="s">
        <v>135</v>
      </c>
      <c r="E80" s="147"/>
    </row>
    <row r="81" spans="1:8" x14ac:dyDescent="0.25">
      <c r="A81" s="151">
        <v>1050</v>
      </c>
      <c r="B81" s="130" t="s">
        <v>145</v>
      </c>
      <c r="C81" s="151" t="s">
        <v>146</v>
      </c>
    </row>
    <row r="82" spans="1:8" x14ac:dyDescent="0.25">
      <c r="A82" s="151">
        <v>4780</v>
      </c>
      <c r="B82" s="130" t="s">
        <v>57</v>
      </c>
      <c r="C82" s="151" t="s">
        <v>147</v>
      </c>
    </row>
    <row r="83" spans="1:8" x14ac:dyDescent="0.25">
      <c r="A83" s="150">
        <v>6700</v>
      </c>
      <c r="B83" s="152" t="s">
        <v>114</v>
      </c>
      <c r="C83" s="151" t="s">
        <v>497</v>
      </c>
    </row>
    <row r="84" spans="1:8" x14ac:dyDescent="0.25">
      <c r="A84" s="150">
        <v>6760</v>
      </c>
      <c r="B84" s="130" t="s">
        <v>115</v>
      </c>
      <c r="C84" s="151" t="s">
        <v>498</v>
      </c>
    </row>
    <row r="85" spans="1:8" x14ac:dyDescent="0.25">
      <c r="A85" s="150">
        <v>4650</v>
      </c>
      <c r="B85" s="130" t="s">
        <v>355</v>
      </c>
      <c r="C85" s="151" t="s">
        <v>136</v>
      </c>
    </row>
    <row r="86" spans="1:8" x14ac:dyDescent="0.25">
      <c r="A86" s="150">
        <v>3760</v>
      </c>
      <c r="B86" s="130" t="s">
        <v>116</v>
      </c>
      <c r="C86" s="151" t="s">
        <v>137</v>
      </c>
    </row>
    <row r="87" spans="1:8" x14ac:dyDescent="0.25">
      <c r="A87" s="150">
        <v>3600</v>
      </c>
      <c r="B87" s="130" t="s">
        <v>117</v>
      </c>
      <c r="C87" s="151" t="s">
        <v>138</v>
      </c>
    </row>
    <row r="88" spans="1:8" x14ac:dyDescent="0.25">
      <c r="A88" s="150">
        <v>2250</v>
      </c>
      <c r="B88" s="130" t="s">
        <v>118</v>
      </c>
      <c r="C88" s="151" t="s">
        <v>139</v>
      </c>
    </row>
    <row r="89" spans="1:8" x14ac:dyDescent="0.25">
      <c r="A89" s="150">
        <v>3650</v>
      </c>
      <c r="B89" s="130" t="s">
        <v>119</v>
      </c>
      <c r="C89" s="151" t="s">
        <v>140</v>
      </c>
    </row>
    <row r="90" spans="1:8" x14ac:dyDescent="0.25">
      <c r="A90" s="150">
        <v>3800</v>
      </c>
      <c r="B90" s="130" t="s">
        <v>120</v>
      </c>
      <c r="C90" s="151" t="s">
        <v>141</v>
      </c>
    </row>
    <row r="93" spans="1:8" x14ac:dyDescent="0.25">
      <c r="A93" s="153" t="s">
        <v>2</v>
      </c>
    </row>
    <row r="94" spans="1:8" ht="47.25" x14ac:dyDescent="0.25">
      <c r="A94" s="154" t="s">
        <v>58</v>
      </c>
      <c r="B94" s="155" t="s">
        <v>391</v>
      </c>
      <c r="C94" s="155" t="s">
        <v>392</v>
      </c>
      <c r="E94" s="154" t="s">
        <v>183</v>
      </c>
      <c r="F94" s="155" t="s">
        <v>418</v>
      </c>
      <c r="G94" s="155" t="s">
        <v>186</v>
      </c>
      <c r="H94" s="311" t="s">
        <v>533</v>
      </c>
    </row>
    <row r="95" spans="1:8" customFormat="1" ht="31.5" x14ac:dyDescent="0.25">
      <c r="A95" s="1" t="s">
        <v>188</v>
      </c>
      <c r="B95" s="75">
        <v>9.5699999999999993E-2</v>
      </c>
      <c r="C95" s="75">
        <v>9.9180000000000004E-2</v>
      </c>
      <c r="D95" s="269"/>
      <c r="E95" s="156" t="s">
        <v>377</v>
      </c>
      <c r="F95" s="30">
        <v>12.79</v>
      </c>
      <c r="G95" s="33">
        <f>F95/10.38</f>
        <v>1.2321772639691713</v>
      </c>
      <c r="H95" s="315" t="s">
        <v>550</v>
      </c>
    </row>
    <row r="96" spans="1:8" x14ac:dyDescent="0.25">
      <c r="A96" s="279" t="s">
        <v>148</v>
      </c>
      <c r="B96" s="277">
        <v>0.10630000000000001</v>
      </c>
      <c r="C96" s="280">
        <v>0.1197</v>
      </c>
      <c r="D96" s="269"/>
    </row>
    <row r="97" spans="1:9" x14ac:dyDescent="0.25">
      <c r="A97" s="279" t="s">
        <v>149</v>
      </c>
      <c r="B97" s="277">
        <v>7.2400000000000006E-2</v>
      </c>
      <c r="C97" s="280">
        <v>6.5600000000000006E-2</v>
      </c>
      <c r="D97" s="269"/>
    </row>
    <row r="98" spans="1:9" x14ac:dyDescent="0.25">
      <c r="A98" s="279" t="s">
        <v>150</v>
      </c>
      <c r="B98" s="277">
        <v>7.51E-2</v>
      </c>
      <c r="C98" s="280">
        <v>8.1699999999999995E-2</v>
      </c>
      <c r="D98" s="269"/>
    </row>
    <row r="99" spans="1:9" x14ac:dyDescent="0.25">
      <c r="A99" s="279" t="s">
        <v>151</v>
      </c>
      <c r="B99" s="277">
        <v>2.6800000000000001E-2</v>
      </c>
      <c r="C99" s="280">
        <v>3.7199999999999997E-2</v>
      </c>
      <c r="D99" s="269"/>
    </row>
    <row r="100" spans="1:9" x14ac:dyDescent="0.25">
      <c r="A100" s="279" t="s">
        <v>393</v>
      </c>
      <c r="B100" s="276">
        <v>8.6300000000000002E-2</v>
      </c>
      <c r="C100" s="281"/>
      <c r="D100" s="269"/>
      <c r="E100" s="154" t="s">
        <v>250</v>
      </c>
      <c r="F100" s="155" t="s">
        <v>184</v>
      </c>
      <c r="G100" s="155" t="s">
        <v>519</v>
      </c>
      <c r="H100" s="311" t="s">
        <v>533</v>
      </c>
      <c r="I100" s="27"/>
    </row>
    <row r="101" spans="1:9" ht="30" x14ac:dyDescent="0.25">
      <c r="A101" s="279" t="s">
        <v>326</v>
      </c>
      <c r="B101" s="277">
        <v>0.10050000000000001</v>
      </c>
      <c r="C101" s="280">
        <v>0.1157</v>
      </c>
      <c r="D101" s="269"/>
      <c r="H101" s="313" t="s">
        <v>546</v>
      </c>
    </row>
    <row r="102" spans="1:9" ht="31.5" x14ac:dyDescent="0.25">
      <c r="A102" s="279" t="s">
        <v>394</v>
      </c>
      <c r="B102" s="276">
        <v>5.6399999999999999E-2</v>
      </c>
      <c r="C102" s="281"/>
      <c r="D102" s="269"/>
      <c r="E102" t="s">
        <v>251</v>
      </c>
      <c r="F102" s="312">
        <v>4.1379999999999999</v>
      </c>
      <c r="G102" s="128" t="s">
        <v>539</v>
      </c>
      <c r="H102" s="314" t="s">
        <v>547</v>
      </c>
    </row>
    <row r="103" spans="1:9" ht="31.5" x14ac:dyDescent="0.25">
      <c r="A103" s="279" t="s">
        <v>395</v>
      </c>
      <c r="B103" s="276">
        <v>8.7800000000000003E-2</v>
      </c>
      <c r="C103" s="281"/>
      <c r="D103" s="269"/>
      <c r="E103" t="s">
        <v>21</v>
      </c>
      <c r="F103" s="312">
        <v>4.41</v>
      </c>
      <c r="G103" s="128" t="s">
        <v>539</v>
      </c>
      <c r="H103" s="314" t="s">
        <v>547</v>
      </c>
    </row>
    <row r="104" spans="1:9" ht="63" x14ac:dyDescent="0.25">
      <c r="A104" s="279" t="s">
        <v>396</v>
      </c>
      <c r="B104" s="276">
        <v>7.4399999999999994E-2</v>
      </c>
      <c r="C104" s="281"/>
      <c r="D104" s="269"/>
      <c r="E104" s="197" t="s">
        <v>543</v>
      </c>
      <c r="F104" s="312">
        <v>6.4</v>
      </c>
      <c r="G104" s="128" t="s">
        <v>540</v>
      </c>
      <c r="H104" s="314" t="s">
        <v>548</v>
      </c>
    </row>
    <row r="105" spans="1:9" ht="63" x14ac:dyDescent="0.25">
      <c r="A105" s="279" t="s">
        <v>327</v>
      </c>
      <c r="B105" s="277">
        <v>8.6199999999999999E-2</v>
      </c>
      <c r="C105" s="280">
        <v>7.4800000000000005E-2</v>
      </c>
      <c r="D105" s="269"/>
      <c r="E105" s="197" t="s">
        <v>544</v>
      </c>
      <c r="F105" s="312">
        <v>6.65</v>
      </c>
      <c r="G105" s="128" t="s">
        <v>540</v>
      </c>
      <c r="H105" s="314" t="s">
        <v>548</v>
      </c>
    </row>
    <row r="106" spans="1:9" ht="63" x14ac:dyDescent="0.25">
      <c r="A106" s="279" t="s">
        <v>397</v>
      </c>
      <c r="B106" s="276">
        <v>0.1186</v>
      </c>
      <c r="C106" s="281"/>
      <c r="D106" s="269"/>
      <c r="E106" s="197" t="s">
        <v>545</v>
      </c>
      <c r="F106" s="312">
        <v>8.7100000000000009</v>
      </c>
      <c r="G106" s="128" t="s">
        <v>540</v>
      </c>
      <c r="H106" s="314" t="s">
        <v>548</v>
      </c>
    </row>
    <row r="107" spans="1:9" ht="31.5" x14ac:dyDescent="0.25">
      <c r="A107" s="279" t="s">
        <v>398</v>
      </c>
      <c r="B107" s="276">
        <v>0.1082</v>
      </c>
      <c r="C107" s="281"/>
      <c r="D107" s="269"/>
      <c r="E107" s="197" t="s">
        <v>520</v>
      </c>
      <c r="F107" s="312">
        <v>3.9180000000000001</v>
      </c>
      <c r="G107" s="128" t="s">
        <v>541</v>
      </c>
      <c r="H107" s="314" t="s">
        <v>549</v>
      </c>
    </row>
    <row r="108" spans="1:9" ht="31.5" x14ac:dyDescent="0.25">
      <c r="A108" s="279" t="s">
        <v>328</v>
      </c>
      <c r="B108" s="277">
        <v>6.9400000000000003E-2</v>
      </c>
      <c r="C108" s="280">
        <v>7.4800000000000005E-2</v>
      </c>
      <c r="D108" s="269"/>
      <c r="E108" s="121" t="s">
        <v>19</v>
      </c>
      <c r="F108" s="312">
        <v>2.7519999999999998</v>
      </c>
      <c r="G108" s="128" t="s">
        <v>542</v>
      </c>
      <c r="H108" s="314" t="s">
        <v>549</v>
      </c>
    </row>
    <row r="109" spans="1:9" x14ac:dyDescent="0.25">
      <c r="A109" s="279" t="s">
        <v>329</v>
      </c>
      <c r="B109" s="277">
        <v>7.7600000000000002E-2</v>
      </c>
      <c r="C109" s="280">
        <v>6.6500000000000004E-2</v>
      </c>
      <c r="D109" s="269"/>
    </row>
    <row r="110" spans="1:9" x14ac:dyDescent="0.25">
      <c r="A110" s="279" t="s">
        <v>330</v>
      </c>
      <c r="B110" s="277">
        <v>0.11360000000000001</v>
      </c>
      <c r="C110" s="280">
        <v>0.1075</v>
      </c>
      <c r="D110" s="269"/>
    </row>
    <row r="111" spans="1:9" x14ac:dyDescent="0.25">
      <c r="A111" s="279" t="s">
        <v>399</v>
      </c>
      <c r="B111" s="276">
        <v>8.2500000000000004E-2</v>
      </c>
      <c r="C111" s="281"/>
      <c r="D111" s="269"/>
    </row>
    <row r="112" spans="1:9" x14ac:dyDescent="0.25">
      <c r="A112" s="279" t="s">
        <v>331</v>
      </c>
      <c r="B112" s="277">
        <v>9.0300000000000005E-2</v>
      </c>
      <c r="C112" s="280">
        <v>0.1022</v>
      </c>
      <c r="D112" s="269"/>
    </row>
    <row r="113" spans="1:4" x14ac:dyDescent="0.25">
      <c r="A113" s="279" t="s">
        <v>400</v>
      </c>
      <c r="B113" s="277">
        <v>0.1085</v>
      </c>
      <c r="C113" s="280"/>
      <c r="D113" s="269"/>
    </row>
    <row r="114" spans="1:4" x14ac:dyDescent="0.25">
      <c r="A114" s="279" t="s">
        <v>152</v>
      </c>
      <c r="B114" s="277">
        <v>9.0300000000000005E-2</v>
      </c>
      <c r="C114" s="280">
        <v>9.7600000000000006E-2</v>
      </c>
      <c r="D114" s="269"/>
    </row>
    <row r="115" spans="1:4" x14ac:dyDescent="0.25">
      <c r="A115" s="279" t="s">
        <v>153</v>
      </c>
      <c r="B115" s="277">
        <v>7.5499999999999998E-2</v>
      </c>
      <c r="C115" s="280">
        <v>7.6300000000000007E-2</v>
      </c>
      <c r="D115" s="269"/>
    </row>
    <row r="116" spans="1:4" x14ac:dyDescent="0.25">
      <c r="A116" s="279" t="s">
        <v>154</v>
      </c>
      <c r="B116" s="277">
        <v>8.3699999999999997E-2</v>
      </c>
      <c r="C116" s="280">
        <v>8.4199999999999997E-2</v>
      </c>
      <c r="D116" s="269"/>
    </row>
    <row r="117" spans="1:4" x14ac:dyDescent="0.25">
      <c r="A117" s="279" t="s">
        <v>155</v>
      </c>
      <c r="B117" s="277">
        <v>0.1016</v>
      </c>
      <c r="C117" s="280">
        <v>9.9000000000000005E-2</v>
      </c>
      <c r="D117" s="269"/>
    </row>
    <row r="118" spans="1:4" x14ac:dyDescent="0.25">
      <c r="A118" s="279" t="s">
        <v>156</v>
      </c>
      <c r="B118" s="277">
        <v>9.4500000000000001E-2</v>
      </c>
      <c r="C118" s="280">
        <v>9.35E-2</v>
      </c>
      <c r="D118" s="269"/>
    </row>
    <row r="119" spans="1:4" x14ac:dyDescent="0.25">
      <c r="A119" s="279" t="s">
        <v>157</v>
      </c>
      <c r="B119" s="277">
        <v>6.8500000000000005E-2</v>
      </c>
      <c r="C119" s="280">
        <v>6.8900000000000003E-2</v>
      </c>
      <c r="D119" s="269"/>
    </row>
    <row r="120" spans="1:4" x14ac:dyDescent="0.25">
      <c r="A120" s="279" t="s">
        <v>401</v>
      </c>
      <c r="B120" s="277">
        <v>9.2499999999999999E-2</v>
      </c>
      <c r="C120" s="280"/>
      <c r="D120" s="269"/>
    </row>
    <row r="121" spans="1:4" x14ac:dyDescent="0.25">
      <c r="A121" s="279" t="s">
        <v>158</v>
      </c>
      <c r="B121" s="277">
        <v>0.11899999999999999</v>
      </c>
      <c r="C121" s="280"/>
      <c r="D121" s="269"/>
    </row>
    <row r="122" spans="1:4" x14ac:dyDescent="0.25">
      <c r="A122" s="279" t="s">
        <v>402</v>
      </c>
      <c r="B122" s="276">
        <v>9.2499999999999999E-2</v>
      </c>
      <c r="C122" s="281"/>
      <c r="D122" s="269"/>
    </row>
    <row r="123" spans="1:4" x14ac:dyDescent="0.25">
      <c r="A123" s="279" t="s">
        <v>403</v>
      </c>
      <c r="B123" s="276">
        <v>8.5199999999999998E-2</v>
      </c>
      <c r="C123" s="281"/>
      <c r="D123" s="269"/>
    </row>
    <row r="124" spans="1:4" x14ac:dyDescent="0.25">
      <c r="A124" s="279" t="s">
        <v>159</v>
      </c>
      <c r="B124" s="277">
        <v>0.16889999999999999</v>
      </c>
      <c r="C124" s="280">
        <v>0.15629999999999999</v>
      </c>
      <c r="D124" s="269"/>
    </row>
    <row r="125" spans="1:4" x14ac:dyDescent="0.25">
      <c r="A125" s="279" t="s">
        <v>405</v>
      </c>
      <c r="B125" s="277">
        <v>5.67E-2</v>
      </c>
      <c r="C125" s="280"/>
      <c r="D125" s="269"/>
    </row>
    <row r="126" spans="1:4" x14ac:dyDescent="0.25">
      <c r="A126" s="279" t="s">
        <v>160</v>
      </c>
      <c r="B126" s="277">
        <v>7.3200000000000001E-2</v>
      </c>
      <c r="C126" s="280">
        <v>6.9400000000000003E-2</v>
      </c>
      <c r="D126" s="269"/>
    </row>
    <row r="127" spans="1:4" x14ac:dyDescent="0.25">
      <c r="A127" s="279" t="s">
        <v>161</v>
      </c>
      <c r="B127" s="277">
        <v>3.5799999999999998E-2</v>
      </c>
      <c r="C127" s="280">
        <v>3.9300000000000002E-2</v>
      </c>
      <c r="D127" s="269"/>
    </row>
    <row r="128" spans="1:4" x14ac:dyDescent="0.25">
      <c r="A128" s="279" t="s">
        <v>162</v>
      </c>
      <c r="B128" s="277">
        <v>0.1084</v>
      </c>
      <c r="C128" s="280">
        <v>9.4899999999999998E-2</v>
      </c>
      <c r="D128" s="269"/>
    </row>
    <row r="129" spans="1:4" x14ac:dyDescent="0.25">
      <c r="A129" s="279" t="s">
        <v>332</v>
      </c>
      <c r="B129" s="277">
        <v>8.1900000000000001E-2</v>
      </c>
      <c r="C129" s="280">
        <v>7.5700000000000003E-2</v>
      </c>
      <c r="D129" s="269"/>
    </row>
    <row r="130" spans="1:4" x14ac:dyDescent="0.25">
      <c r="A130" s="279" t="s">
        <v>163</v>
      </c>
      <c r="B130" s="277">
        <v>5.6599999999999998E-2</v>
      </c>
      <c r="C130" s="280">
        <v>8.6800000000000002E-2</v>
      </c>
      <c r="D130" s="269"/>
    </row>
    <row r="131" spans="1:4" x14ac:dyDescent="0.25">
      <c r="A131" s="279" t="s">
        <v>164</v>
      </c>
      <c r="B131" s="277">
        <v>3.9800000000000002E-2</v>
      </c>
      <c r="C131" s="280">
        <v>4.5499999999999999E-2</v>
      </c>
      <c r="D131" s="269"/>
    </row>
    <row r="132" spans="1:4" x14ac:dyDescent="0.25">
      <c r="A132" s="279" t="s">
        <v>406</v>
      </c>
      <c r="B132" s="276">
        <v>9.7000000000000003E-2</v>
      </c>
      <c r="C132" s="281"/>
      <c r="D132" s="269"/>
    </row>
    <row r="133" spans="1:4" x14ac:dyDescent="0.25">
      <c r="A133" s="279" t="s">
        <v>165</v>
      </c>
      <c r="B133" s="277">
        <v>7.9500000000000001E-2</v>
      </c>
      <c r="C133" s="280">
        <v>7.4399999999999994E-2</v>
      </c>
      <c r="D133" s="269"/>
    </row>
    <row r="134" spans="1:4" x14ac:dyDescent="0.25">
      <c r="A134" s="279" t="s">
        <v>166</v>
      </c>
      <c r="B134" s="277">
        <v>0.1142</v>
      </c>
      <c r="C134" s="280">
        <v>0.1079</v>
      </c>
      <c r="D134" s="269"/>
    </row>
    <row r="135" spans="1:4" x14ac:dyDescent="0.25">
      <c r="A135" s="279" t="s">
        <v>167</v>
      </c>
      <c r="B135" s="277">
        <v>0.10780000000000001</v>
      </c>
      <c r="C135" s="280">
        <v>0.12429999999999999</v>
      </c>
      <c r="D135" s="269"/>
    </row>
    <row r="136" spans="1:4" x14ac:dyDescent="0.25">
      <c r="A136" s="279" t="s">
        <v>407</v>
      </c>
      <c r="B136" s="276">
        <v>0.1135</v>
      </c>
      <c r="C136" s="281"/>
      <c r="D136" s="269"/>
    </row>
    <row r="137" spans="1:4" x14ac:dyDescent="0.25">
      <c r="A137" s="279" t="s">
        <v>168</v>
      </c>
      <c r="B137" s="277">
        <v>8.8200000000000001E-2</v>
      </c>
      <c r="C137" s="280">
        <v>9.5600000000000004E-2</v>
      </c>
    </row>
    <row r="138" spans="1:4" x14ac:dyDescent="0.25">
      <c r="A138" s="279" t="s">
        <v>169</v>
      </c>
      <c r="B138" s="277">
        <v>8.48E-2</v>
      </c>
      <c r="C138" s="280">
        <v>8.6400000000000005E-2</v>
      </c>
    </row>
    <row r="139" spans="1:4" x14ac:dyDescent="0.25">
      <c r="A139" s="279" t="s">
        <v>408</v>
      </c>
      <c r="B139" s="276">
        <v>0.12239999999999999</v>
      </c>
      <c r="C139" s="281"/>
    </row>
    <row r="140" spans="1:4" x14ac:dyDescent="0.25">
      <c r="A140" s="279" t="s">
        <v>170</v>
      </c>
      <c r="B140" s="277">
        <v>8.4599999999999995E-2</v>
      </c>
      <c r="C140" s="280">
        <v>7.7100000000000002E-2</v>
      </c>
    </row>
    <row r="141" spans="1:4" x14ac:dyDescent="0.25">
      <c r="A141" s="279" t="s">
        <v>171</v>
      </c>
      <c r="B141" s="277">
        <v>7.6600000000000001E-2</v>
      </c>
      <c r="C141" s="280">
        <v>7.3499999999999996E-2</v>
      </c>
    </row>
    <row r="142" spans="1:4" x14ac:dyDescent="0.25">
      <c r="A142" s="279" t="s">
        <v>409</v>
      </c>
      <c r="B142" s="276">
        <v>1.158E-2</v>
      </c>
      <c r="C142" s="281"/>
    </row>
    <row r="143" spans="1:4" x14ac:dyDescent="0.25">
      <c r="A143" s="279" t="s">
        <v>410</v>
      </c>
      <c r="B143" s="276">
        <v>9.8400000000000001E-2</v>
      </c>
      <c r="C143" s="281">
        <v>8.9399999999999993E-2</v>
      </c>
    </row>
    <row r="144" spans="1:4" x14ac:dyDescent="0.25">
      <c r="A144" s="279" t="s">
        <v>411</v>
      </c>
      <c r="B144" s="276">
        <v>0.10050000000000001</v>
      </c>
      <c r="C144" s="281"/>
    </row>
    <row r="145" spans="1:3" x14ac:dyDescent="0.25">
      <c r="A145" s="279" t="s">
        <v>172</v>
      </c>
      <c r="B145" s="277">
        <v>4.4499999999999998E-2</v>
      </c>
      <c r="C145" s="280"/>
    </row>
    <row r="146" spans="1:3" x14ac:dyDescent="0.25">
      <c r="A146" s="279" t="s">
        <v>173</v>
      </c>
      <c r="B146" s="277">
        <v>4.5199999999999997E-2</v>
      </c>
      <c r="C146" s="280">
        <v>4.3400000000000001E-2</v>
      </c>
    </row>
    <row r="147" spans="1:3" x14ac:dyDescent="0.25">
      <c r="A147" s="279" t="s">
        <v>174</v>
      </c>
      <c r="B147" s="277">
        <v>8.7800000000000003E-2</v>
      </c>
      <c r="C147" s="280">
        <v>8.8200000000000001E-2</v>
      </c>
    </row>
    <row r="148" spans="1:3" x14ac:dyDescent="0.25">
      <c r="A148" s="279" t="s">
        <v>175</v>
      </c>
      <c r="B148" s="277">
        <v>0.1164</v>
      </c>
      <c r="C148" s="280">
        <v>9.8900000000000002E-2</v>
      </c>
    </row>
    <row r="149" spans="1:3" x14ac:dyDescent="0.25">
      <c r="A149" s="279" t="s">
        <v>176</v>
      </c>
      <c r="B149" s="277">
        <v>0.1007</v>
      </c>
      <c r="C149" s="280">
        <v>0.10100000000000001</v>
      </c>
    </row>
    <row r="150" spans="1:3" x14ac:dyDescent="0.25">
      <c r="A150" s="279" t="s">
        <v>412</v>
      </c>
      <c r="B150" s="276">
        <v>7.6499999999999999E-2</v>
      </c>
      <c r="C150" s="281"/>
    </row>
    <row r="151" spans="1:3" x14ac:dyDescent="0.25">
      <c r="A151" s="279" t="s">
        <v>177</v>
      </c>
      <c r="B151" s="277">
        <v>9.7699999999999995E-2</v>
      </c>
      <c r="C151" s="280">
        <v>7.7899999999999997E-2</v>
      </c>
    </row>
    <row r="152" spans="1:3" x14ac:dyDescent="0.25">
      <c r="A152" s="279" t="s">
        <v>178</v>
      </c>
      <c r="B152" s="277">
        <v>0.129</v>
      </c>
      <c r="C152" s="280">
        <v>0.1255</v>
      </c>
    </row>
    <row r="153" spans="1:3" x14ac:dyDescent="0.25">
      <c r="A153" s="279" t="s">
        <v>413</v>
      </c>
      <c r="B153" s="276">
        <v>0.16880000000000001</v>
      </c>
      <c r="C153" s="281"/>
    </row>
    <row r="154" spans="1:3" x14ac:dyDescent="0.25">
      <c r="A154" s="279" t="s">
        <v>414</v>
      </c>
      <c r="B154" s="276">
        <v>0.1305</v>
      </c>
      <c r="C154" s="281"/>
    </row>
    <row r="155" spans="1:3" x14ac:dyDescent="0.25">
      <c r="A155" s="279" t="s">
        <v>333</v>
      </c>
      <c r="B155" s="277">
        <v>0.11020000000000001</v>
      </c>
      <c r="C155" s="281"/>
    </row>
    <row r="156" spans="1:3" x14ac:dyDescent="0.25">
      <c r="A156" s="279" t="s">
        <v>415</v>
      </c>
      <c r="B156" s="276">
        <v>8.1500000000000003E-2</v>
      </c>
      <c r="C156" s="281"/>
    </row>
    <row r="157" spans="1:3" x14ac:dyDescent="0.25">
      <c r="A157" s="279" t="s">
        <v>416</v>
      </c>
      <c r="B157" s="276">
        <v>0.1318</v>
      </c>
      <c r="C157" s="281"/>
    </row>
    <row r="158" spans="1:3" x14ac:dyDescent="0.25">
      <c r="A158" s="279" t="s">
        <v>417</v>
      </c>
      <c r="B158" s="276">
        <v>0.1119</v>
      </c>
      <c r="C158" s="282"/>
    </row>
    <row r="159" spans="1:3" x14ac:dyDescent="0.25">
      <c r="A159" s="279" t="s">
        <v>179</v>
      </c>
      <c r="B159" s="277">
        <v>8.5000000000000006E-2</v>
      </c>
      <c r="C159" s="280">
        <v>8.3500000000000005E-2</v>
      </c>
    </row>
    <row r="160" spans="1:3" x14ac:dyDescent="0.25">
      <c r="A160" s="279" t="s">
        <v>404</v>
      </c>
      <c r="B160" s="278">
        <v>7.3499999999999996E-2</v>
      </c>
      <c r="C160" s="278">
        <v>7.2900000000000006E-2</v>
      </c>
    </row>
  </sheetData>
  <sheetProtection algorithmName="SHA-512" hashValue="PftlmxBfyo21fwoVrV447neXDpjeFIfL6+zkzGU11EMm1q8Tv8x8CkJzX2CtfmOQBkgWHbOi8deR1yZJKYWjMQ==" saltValue="JQO9fDjQ45dofjaOhgdocw==" spinCount="100000" sheet="1" objects="1" scenarios="1"/>
  <mergeCells count="1">
    <mergeCell ref="A49:B49"/>
  </mergeCells>
  <hyperlinks>
    <hyperlink ref="J31" r:id="rId1" xr:uid="{CBB674A8-5368-489B-9E23-A82158DC8500}"/>
    <hyperlink ref="D57" r:id="rId2" location="pineforests" xr:uid="{647DFE37-B3B0-453F-AF67-27FEDDC517C7}"/>
    <hyperlink ref="D56" r:id="rId3" location="vehicles" xr:uid="{377D9895-9C65-4CC7-8581-A430D71E4087}"/>
    <hyperlink ref="A53" r:id="rId4" xr:uid="{84243AFE-DE54-40D3-AAD1-077042845FBC}"/>
    <hyperlink ref="H101" r:id="rId5" xr:uid="{7A7AD64C-0EBB-4401-82EB-69EC36DFD3F3}"/>
    <hyperlink ref="H102" r:id="rId6" xr:uid="{674621DA-8BF2-4189-81BA-20EA7A2DFAFC}"/>
    <hyperlink ref="H103" r:id="rId7" xr:uid="{D3DB9581-490D-4CD8-9515-F8C46B15DE3F}"/>
    <hyperlink ref="H104" r:id="rId8" xr:uid="{32946AC6-F66F-4F16-8A64-E21187982894}"/>
    <hyperlink ref="H105" r:id="rId9" xr:uid="{DBC57956-C960-4727-A634-B2ED11A1E62A}"/>
    <hyperlink ref="H106" r:id="rId10" xr:uid="{2E7B4689-4637-4549-AB28-B847D1A80601}"/>
    <hyperlink ref="H107" r:id="rId11" xr:uid="{B03391A7-1B9C-4667-B899-006A9F5A9458}"/>
    <hyperlink ref="H108" r:id="rId12" xr:uid="{E0399726-35EC-4F33-9FA2-503FBBE513C3}"/>
    <hyperlink ref="H95" r:id="rId13" xr:uid="{5DB8B1DD-1441-424F-BF04-313DE5429775}"/>
  </hyperlinks>
  <pageMargins left="0.7" right="0.7" top="0.75" bottom="0.75" header="0.3" footer="0.3"/>
  <pageSetup orientation="portrait" r:id="rId14"/>
  <legacyDrawing r:id="rId1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5" tint="0.39997558519241921"/>
  </sheetPr>
  <dimension ref="A1:AD78"/>
  <sheetViews>
    <sheetView workbookViewId="0">
      <selection activeCell="A2" sqref="A2:H3"/>
    </sheetView>
  </sheetViews>
  <sheetFormatPr defaultRowHeight="15" x14ac:dyDescent="0.25"/>
  <cols>
    <col min="1" max="1" width="27.85546875" customWidth="1"/>
    <col min="2" max="5" width="14.5703125" customWidth="1"/>
    <col min="6" max="6" width="20" customWidth="1"/>
    <col min="7" max="8" width="14.5703125" customWidth="1"/>
    <col min="9" max="9" width="15.28515625" customWidth="1"/>
    <col min="10" max="10" width="30.7109375" customWidth="1"/>
    <col min="11" max="12" width="10.140625" bestFit="1" customWidth="1"/>
    <col min="13" max="20" width="11.140625" bestFit="1" customWidth="1"/>
  </cols>
  <sheetData>
    <row r="1" spans="1:20" ht="23.25" x14ac:dyDescent="0.35">
      <c r="A1" s="118" t="s">
        <v>288</v>
      </c>
      <c r="B1" s="119"/>
      <c r="C1" s="120"/>
      <c r="D1" s="120"/>
      <c r="E1" s="120"/>
      <c r="F1" s="120"/>
      <c r="G1" s="120"/>
      <c r="H1" s="120"/>
    </row>
    <row r="2" spans="1:20" x14ac:dyDescent="0.25">
      <c r="A2" s="352" t="s">
        <v>311</v>
      </c>
      <c r="B2" s="352"/>
      <c r="C2" s="352"/>
      <c r="D2" s="352"/>
      <c r="E2" s="352"/>
      <c r="F2" s="352"/>
      <c r="G2" s="352"/>
      <c r="H2" s="352"/>
      <c r="M2" s="159"/>
      <c r="N2" s="159"/>
      <c r="O2" s="159"/>
    </row>
    <row r="3" spans="1:20" x14ac:dyDescent="0.25">
      <c r="A3" s="352"/>
      <c r="B3" s="352"/>
      <c r="C3" s="352"/>
      <c r="D3" s="352"/>
      <c r="E3" s="352"/>
      <c r="F3" s="352"/>
      <c r="G3" s="352"/>
      <c r="H3" s="352"/>
      <c r="J3" s="159"/>
      <c r="K3" s="159"/>
      <c r="L3" s="159"/>
      <c r="M3" s="159"/>
      <c r="N3" s="159"/>
      <c r="O3" s="159"/>
    </row>
    <row r="4" spans="1:20" x14ac:dyDescent="0.25">
      <c r="A4" s="355" t="s">
        <v>294</v>
      </c>
      <c r="B4" s="355"/>
      <c r="C4" s="355"/>
      <c r="D4" s="355"/>
      <c r="E4" s="355"/>
      <c r="F4" s="355"/>
      <c r="G4" s="355"/>
      <c r="H4" s="355"/>
      <c r="J4" s="159"/>
      <c r="K4" s="159"/>
      <c r="L4" s="159"/>
      <c r="M4" s="159"/>
      <c r="N4" s="159"/>
      <c r="O4" s="159"/>
    </row>
    <row r="5" spans="1:20" ht="14.45" customHeight="1" x14ac:dyDescent="0.25">
      <c r="A5" s="354" t="s">
        <v>295</v>
      </c>
      <c r="B5" s="354"/>
      <c r="C5" s="354"/>
      <c r="D5" s="354"/>
      <c r="E5" s="354"/>
      <c r="F5" s="354"/>
      <c r="G5" s="354"/>
      <c r="H5" s="354"/>
      <c r="J5" s="159"/>
      <c r="K5" s="159"/>
      <c r="L5" s="159"/>
      <c r="M5" s="159"/>
      <c r="N5" s="159"/>
      <c r="O5" s="159"/>
    </row>
    <row r="6" spans="1:20" x14ac:dyDescent="0.25">
      <c r="A6" s="354"/>
      <c r="B6" s="354"/>
      <c r="C6" s="354"/>
      <c r="D6" s="354"/>
      <c r="E6" s="354"/>
      <c r="F6" s="354"/>
      <c r="G6" s="354"/>
      <c r="H6" s="354"/>
      <c r="J6" s="159"/>
      <c r="K6" s="159"/>
      <c r="L6" s="159"/>
      <c r="M6" s="159"/>
      <c r="N6" s="159"/>
      <c r="O6" s="159"/>
    </row>
    <row r="7" spans="1:20" x14ac:dyDescent="0.25">
      <c r="A7" s="354"/>
      <c r="B7" s="354"/>
      <c r="C7" s="354"/>
      <c r="D7" s="354"/>
      <c r="E7" s="354"/>
      <c r="F7" s="354"/>
      <c r="G7" s="354"/>
      <c r="H7" s="354"/>
      <c r="J7" s="159"/>
      <c r="K7" s="159"/>
      <c r="L7" s="159"/>
      <c r="M7" s="159"/>
      <c r="N7" s="159"/>
      <c r="O7" s="159"/>
    </row>
    <row r="8" spans="1:20" x14ac:dyDescent="0.25">
      <c r="A8" s="354"/>
      <c r="B8" s="354"/>
      <c r="C8" s="354"/>
      <c r="D8" s="354"/>
      <c r="E8" s="354"/>
      <c r="F8" s="354"/>
      <c r="G8" s="354"/>
      <c r="H8" s="354"/>
      <c r="J8" s="159"/>
      <c r="K8" s="159"/>
      <c r="L8" s="159"/>
      <c r="M8" s="159"/>
      <c r="N8" s="159"/>
      <c r="O8" s="159"/>
    </row>
    <row r="9" spans="1:20" x14ac:dyDescent="0.25">
      <c r="A9" s="160" t="s">
        <v>296</v>
      </c>
      <c r="B9" s="159"/>
      <c r="C9" s="159"/>
      <c r="D9" s="159"/>
      <c r="E9" s="159"/>
      <c r="F9" s="159"/>
      <c r="G9" s="159"/>
      <c r="H9" s="159"/>
      <c r="J9" s="159"/>
      <c r="K9" s="159"/>
      <c r="L9" s="159"/>
      <c r="M9" s="159"/>
      <c r="N9" s="159"/>
      <c r="O9" s="159"/>
    </row>
    <row r="10" spans="1:20" x14ac:dyDescent="0.25">
      <c r="A10" s="29" t="s">
        <v>551</v>
      </c>
      <c r="B10" s="161"/>
      <c r="C10" s="161"/>
      <c r="D10" s="161"/>
      <c r="E10" s="161"/>
      <c r="F10" s="161"/>
      <c r="G10" s="161"/>
      <c r="H10" s="161"/>
      <c r="J10" s="159"/>
      <c r="K10" s="159"/>
      <c r="L10" s="159"/>
      <c r="M10" s="159"/>
      <c r="N10" s="159"/>
      <c r="O10" s="159"/>
    </row>
    <row r="11" spans="1:20" ht="21" x14ac:dyDescent="0.35">
      <c r="A11" s="21" t="s">
        <v>289</v>
      </c>
      <c r="B11" s="162"/>
      <c r="C11" s="162"/>
      <c r="D11" s="162"/>
      <c r="E11" s="162"/>
      <c r="F11" s="162"/>
      <c r="G11" s="162"/>
      <c r="H11" s="162"/>
      <c r="I11" s="162"/>
      <c r="J11" s="162"/>
      <c r="K11" s="162"/>
      <c r="L11" s="162"/>
      <c r="M11" s="162"/>
      <c r="N11" s="162"/>
      <c r="O11" s="162"/>
      <c r="P11" s="162"/>
      <c r="Q11" s="162"/>
      <c r="R11" s="162"/>
      <c r="S11" s="162"/>
      <c r="T11" s="162"/>
    </row>
    <row r="12" spans="1:20" x14ac:dyDescent="0.25">
      <c r="A12" s="353" t="s">
        <v>279</v>
      </c>
      <c r="B12" s="353"/>
      <c r="C12" s="353"/>
      <c r="D12" s="353"/>
      <c r="E12" s="353"/>
      <c r="F12" s="353"/>
      <c r="J12" s="159"/>
      <c r="K12" s="159"/>
      <c r="L12" s="159"/>
      <c r="M12" s="159"/>
      <c r="N12" s="159"/>
      <c r="O12" s="159"/>
    </row>
    <row r="13" spans="1:20" x14ac:dyDescent="0.25">
      <c r="A13" s="353" t="s">
        <v>280</v>
      </c>
      <c r="B13" s="353"/>
      <c r="C13" s="353"/>
      <c r="D13" s="353"/>
      <c r="E13" s="353"/>
      <c r="F13" s="353"/>
      <c r="J13" s="159"/>
      <c r="K13" s="159"/>
      <c r="L13" s="159"/>
      <c r="M13" s="159"/>
      <c r="N13" s="159"/>
      <c r="O13" s="159"/>
    </row>
    <row r="14" spans="1:20" x14ac:dyDescent="0.25">
      <c r="A14" s="353" t="s">
        <v>214</v>
      </c>
      <c r="B14" s="353"/>
      <c r="C14" s="353"/>
      <c r="D14" s="353"/>
      <c r="E14" s="353"/>
      <c r="F14" s="353"/>
      <c r="J14" s="159"/>
      <c r="K14" s="159"/>
      <c r="L14" s="159"/>
      <c r="M14" s="159"/>
      <c r="N14" s="159"/>
      <c r="O14" s="159"/>
    </row>
    <row r="15" spans="1:20" x14ac:dyDescent="0.25">
      <c r="A15" s="353" t="s">
        <v>281</v>
      </c>
      <c r="B15" s="353"/>
      <c r="C15" s="353"/>
      <c r="D15" s="353"/>
      <c r="E15" s="353"/>
      <c r="F15" s="353"/>
      <c r="J15" s="159"/>
      <c r="K15" s="159"/>
      <c r="L15" s="159"/>
      <c r="M15" s="159"/>
      <c r="N15" s="159"/>
      <c r="O15" s="159"/>
    </row>
    <row r="16" spans="1:20" x14ac:dyDescent="0.25">
      <c r="A16" s="353" t="s">
        <v>282</v>
      </c>
      <c r="B16" s="353"/>
      <c r="C16" s="353"/>
      <c r="D16" s="353"/>
      <c r="E16" s="353"/>
      <c r="F16" s="353"/>
    </row>
    <row r="17" spans="1:30" x14ac:dyDescent="0.25">
      <c r="A17" s="8" t="s">
        <v>375</v>
      </c>
      <c r="B17" s="8"/>
      <c r="C17" s="8"/>
      <c r="D17" s="8"/>
      <c r="E17" s="8"/>
      <c r="F17" s="8"/>
    </row>
    <row r="18" spans="1:30" ht="21" x14ac:dyDescent="0.35">
      <c r="A18" s="21" t="s">
        <v>302</v>
      </c>
      <c r="B18" s="162"/>
      <c r="C18" s="162"/>
      <c r="D18" s="162"/>
      <c r="E18" s="162"/>
      <c r="F18" s="162"/>
      <c r="G18" s="162"/>
      <c r="H18" s="162"/>
      <c r="I18" s="162"/>
      <c r="J18" s="162"/>
      <c r="K18" s="162"/>
      <c r="L18" s="162"/>
      <c r="M18" s="162"/>
      <c r="N18" s="162"/>
      <c r="O18" s="162"/>
      <c r="P18" s="162"/>
      <c r="Q18" s="162"/>
      <c r="R18" s="162"/>
      <c r="S18" s="162"/>
      <c r="T18" s="162"/>
    </row>
    <row r="19" spans="1:30" x14ac:dyDescent="0.25">
      <c r="A19" s="8"/>
      <c r="B19" s="8"/>
      <c r="C19" s="8"/>
      <c r="D19" s="8"/>
      <c r="E19" s="8"/>
      <c r="F19" s="8"/>
    </row>
    <row r="20" spans="1:30" ht="21" x14ac:dyDescent="0.35">
      <c r="C20" s="163" t="s">
        <v>304</v>
      </c>
      <c r="D20" s="164">
        <v>2025</v>
      </c>
      <c r="F20" s="8"/>
    </row>
    <row r="21" spans="1:30" x14ac:dyDescent="0.25">
      <c r="J21" s="1" t="s">
        <v>300</v>
      </c>
    </row>
    <row r="22" spans="1:30" ht="45" x14ac:dyDescent="0.25">
      <c r="A22" s="165"/>
      <c r="B22" s="350" t="s">
        <v>290</v>
      </c>
      <c r="C22" s="351"/>
      <c r="D22" s="350" t="s">
        <v>291</v>
      </c>
      <c r="E22" s="351"/>
      <c r="F22" s="166" t="s">
        <v>266</v>
      </c>
      <c r="G22" s="166" t="s">
        <v>267</v>
      </c>
      <c r="H22" s="166" t="s">
        <v>275</v>
      </c>
      <c r="I22" s="167"/>
      <c r="J22" s="168"/>
      <c r="K22" s="61" t="s">
        <v>212</v>
      </c>
      <c r="L22" s="169"/>
      <c r="M22" s="169"/>
      <c r="N22" s="169"/>
      <c r="O22" s="169"/>
      <c r="P22" s="169"/>
      <c r="Q22" s="169"/>
      <c r="R22" s="169"/>
      <c r="S22" s="169"/>
      <c r="T22" s="170"/>
    </row>
    <row r="23" spans="1:30" ht="45" x14ac:dyDescent="0.25">
      <c r="A23" s="171" t="s">
        <v>48</v>
      </c>
      <c r="B23" s="166" t="s">
        <v>49</v>
      </c>
      <c r="C23" s="172" t="s">
        <v>50</v>
      </c>
      <c r="D23" s="166" t="s">
        <v>49</v>
      </c>
      <c r="E23" s="172" t="s">
        <v>50</v>
      </c>
      <c r="F23" s="166" t="s">
        <v>51</v>
      </c>
      <c r="G23" s="166" t="s">
        <v>51</v>
      </c>
      <c r="H23" s="166" t="s">
        <v>51</v>
      </c>
      <c r="I23" s="167"/>
      <c r="J23" s="62" t="s">
        <v>213</v>
      </c>
      <c r="K23" s="173" t="s">
        <v>211</v>
      </c>
      <c r="L23" s="174" t="s">
        <v>202</v>
      </c>
      <c r="M23" s="174" t="s">
        <v>203</v>
      </c>
      <c r="N23" s="174" t="s">
        <v>204</v>
      </c>
      <c r="O23" s="174" t="s">
        <v>205</v>
      </c>
      <c r="P23" s="174" t="s">
        <v>206</v>
      </c>
      <c r="Q23" s="174" t="s">
        <v>207</v>
      </c>
      <c r="R23" s="174" t="s">
        <v>208</v>
      </c>
      <c r="S23" s="174" t="s">
        <v>209</v>
      </c>
      <c r="T23" s="63" t="s">
        <v>210</v>
      </c>
      <c r="X23" s="175"/>
      <c r="Y23" s="175"/>
      <c r="Z23" s="175"/>
      <c r="AA23" s="175"/>
      <c r="AB23" s="175"/>
      <c r="AC23" s="175"/>
      <c r="AD23" s="175"/>
    </row>
    <row r="24" spans="1:30" ht="30" x14ac:dyDescent="0.25">
      <c r="A24" s="158" t="s">
        <v>257</v>
      </c>
      <c r="B24" s="45"/>
      <c r="C24" s="76"/>
      <c r="D24" s="45"/>
      <c r="E24" s="76"/>
      <c r="F24" s="38">
        <f>B24*Reference!D40</f>
        <v>0</v>
      </c>
      <c r="G24" s="176">
        <f>D24*Reference!D40</f>
        <v>0</v>
      </c>
      <c r="H24" s="39">
        <f>F24-G24</f>
        <v>0</v>
      </c>
      <c r="I24" s="165"/>
      <c r="J24" s="177"/>
      <c r="K24" s="178">
        <f>D20</f>
        <v>2025</v>
      </c>
      <c r="L24" s="178">
        <f>K24+1</f>
        <v>2026</v>
      </c>
      <c r="M24" s="178">
        <f>L24+1</f>
        <v>2027</v>
      </c>
      <c r="N24" s="178">
        <f>M24+1</f>
        <v>2028</v>
      </c>
      <c r="O24" s="178">
        <f t="shared" ref="O24:T24" si="0">N24+1</f>
        <v>2029</v>
      </c>
      <c r="P24" s="178">
        <f t="shared" si="0"/>
        <v>2030</v>
      </c>
      <c r="Q24" s="178">
        <f t="shared" si="0"/>
        <v>2031</v>
      </c>
      <c r="R24" s="178">
        <f t="shared" si="0"/>
        <v>2032</v>
      </c>
      <c r="S24" s="178">
        <f t="shared" si="0"/>
        <v>2033</v>
      </c>
      <c r="T24" s="64">
        <f t="shared" si="0"/>
        <v>2034</v>
      </c>
      <c r="U24" s="175"/>
      <c r="V24" s="175"/>
      <c r="X24" s="179"/>
      <c r="Y24" s="179"/>
      <c r="Z24" s="179"/>
      <c r="AA24" s="179"/>
      <c r="AB24" s="179"/>
      <c r="AC24" s="179"/>
      <c r="AD24" s="179"/>
    </row>
    <row r="25" spans="1:30" ht="30" x14ac:dyDescent="0.25">
      <c r="A25" s="158"/>
      <c r="B25" s="180"/>
      <c r="C25" s="76"/>
      <c r="D25" s="180"/>
      <c r="E25" s="76"/>
      <c r="F25" s="181"/>
      <c r="G25" s="182"/>
      <c r="H25" s="183"/>
      <c r="I25" s="165"/>
      <c r="J25" s="184" t="s">
        <v>254</v>
      </c>
      <c r="K25" s="185">
        <f>$F$38</f>
        <v>0</v>
      </c>
      <c r="L25" s="185">
        <f t="shared" ref="L25:T25" si="1">$F$38</f>
        <v>0</v>
      </c>
      <c r="M25" s="185">
        <f t="shared" si="1"/>
        <v>0</v>
      </c>
      <c r="N25" s="185">
        <f t="shared" si="1"/>
        <v>0</v>
      </c>
      <c r="O25" s="185">
        <f t="shared" si="1"/>
        <v>0</v>
      </c>
      <c r="P25" s="185">
        <f t="shared" si="1"/>
        <v>0</v>
      </c>
      <c r="Q25" s="185">
        <f t="shared" si="1"/>
        <v>0</v>
      </c>
      <c r="R25" s="185">
        <f t="shared" si="1"/>
        <v>0</v>
      </c>
      <c r="S25" s="185">
        <f t="shared" si="1"/>
        <v>0</v>
      </c>
      <c r="T25" s="185">
        <f t="shared" si="1"/>
        <v>0</v>
      </c>
      <c r="U25" s="175"/>
      <c r="V25" s="175"/>
      <c r="X25" s="179"/>
      <c r="Y25" s="179"/>
      <c r="Z25" s="179"/>
      <c r="AA25" s="179"/>
      <c r="AB25" s="179"/>
      <c r="AC25" s="179"/>
      <c r="AD25" s="179"/>
    </row>
    <row r="26" spans="1:30" ht="30" x14ac:dyDescent="0.25">
      <c r="A26" s="158" t="s">
        <v>258</v>
      </c>
      <c r="B26" s="45"/>
      <c r="C26" s="77"/>
      <c r="D26" s="45"/>
      <c r="E26" s="77"/>
      <c r="F26" s="40">
        <f>(B26-(B26*$C26))*Reference!D42</f>
        <v>0</v>
      </c>
      <c r="G26" s="186">
        <f>(D26-(D26*$E26))*Reference!D42</f>
        <v>0</v>
      </c>
      <c r="H26" s="39">
        <f>F26-G26</f>
        <v>0</v>
      </c>
      <c r="I26" s="165"/>
      <c r="J26" s="81" t="s">
        <v>255</v>
      </c>
      <c r="K26" s="185">
        <f>$H$38</f>
        <v>0</v>
      </c>
      <c r="L26" s="185">
        <f t="shared" ref="L26:T26" si="2">$H$38</f>
        <v>0</v>
      </c>
      <c r="M26" s="185">
        <f t="shared" si="2"/>
        <v>0</v>
      </c>
      <c r="N26" s="185">
        <f t="shared" si="2"/>
        <v>0</v>
      </c>
      <c r="O26" s="185">
        <f t="shared" si="2"/>
        <v>0</v>
      </c>
      <c r="P26" s="185">
        <f t="shared" si="2"/>
        <v>0</v>
      </c>
      <c r="Q26" s="185">
        <f t="shared" si="2"/>
        <v>0</v>
      </c>
      <c r="R26" s="185">
        <f t="shared" si="2"/>
        <v>0</v>
      </c>
      <c r="S26" s="185">
        <f t="shared" si="2"/>
        <v>0</v>
      </c>
      <c r="T26" s="185">
        <f t="shared" si="2"/>
        <v>0</v>
      </c>
      <c r="U26" s="179"/>
      <c r="V26" s="179"/>
      <c r="W26" s="179"/>
    </row>
    <row r="27" spans="1:30" x14ac:dyDescent="0.25">
      <c r="A27" s="158"/>
      <c r="B27" s="180"/>
      <c r="C27" s="76"/>
      <c r="D27" s="180"/>
      <c r="E27" s="76"/>
      <c r="F27" s="181"/>
      <c r="G27" s="182"/>
      <c r="H27" s="183"/>
      <c r="I27" s="165"/>
      <c r="J27" s="81" t="s">
        <v>256</v>
      </c>
      <c r="K27" s="185">
        <f>$H$38</f>
        <v>0</v>
      </c>
      <c r="L27" s="185">
        <f>$H$38+K27</f>
        <v>0</v>
      </c>
      <c r="M27" s="185">
        <f t="shared" ref="M27:T27" si="3">$H$38+L27</f>
        <v>0</v>
      </c>
      <c r="N27" s="185">
        <f t="shared" si="3"/>
        <v>0</v>
      </c>
      <c r="O27" s="185">
        <f t="shared" si="3"/>
        <v>0</v>
      </c>
      <c r="P27" s="185">
        <f t="shared" si="3"/>
        <v>0</v>
      </c>
      <c r="Q27" s="185">
        <f t="shared" si="3"/>
        <v>0</v>
      </c>
      <c r="R27" s="185">
        <f t="shared" si="3"/>
        <v>0</v>
      </c>
      <c r="S27" s="185">
        <f t="shared" si="3"/>
        <v>0</v>
      </c>
      <c r="T27" s="185">
        <f t="shared" si="3"/>
        <v>0</v>
      </c>
      <c r="U27" s="179"/>
      <c r="V27" s="179"/>
    </row>
    <row r="28" spans="1:30" x14ac:dyDescent="0.25">
      <c r="A28" s="93" t="s">
        <v>259</v>
      </c>
      <c r="B28" s="45"/>
      <c r="C28" s="76"/>
      <c r="D28" s="45"/>
      <c r="E28" s="76"/>
      <c r="F28" s="40">
        <f>B28*WA_Elect_MT_CO2_kWh</f>
        <v>0</v>
      </c>
      <c r="G28" s="186">
        <f>D28*WA_Elect_MT_CO2_kWh</f>
        <v>0</v>
      </c>
      <c r="H28" s="41">
        <f>F28-G28</f>
        <v>0</v>
      </c>
      <c r="I28" s="165"/>
      <c r="J28" s="165"/>
      <c r="O28" s="239">
        <f>K26*5</f>
        <v>0</v>
      </c>
    </row>
    <row r="29" spans="1:30" x14ac:dyDescent="0.25">
      <c r="A29" s="158"/>
      <c r="B29" s="180"/>
      <c r="C29" s="76"/>
      <c r="D29" s="180"/>
      <c r="E29" s="76"/>
      <c r="F29" s="181"/>
      <c r="G29" s="182"/>
      <c r="H29" s="183"/>
      <c r="I29" s="165"/>
      <c r="O29">
        <f>O28*2</f>
        <v>0</v>
      </c>
    </row>
    <row r="30" spans="1:30" ht="30" x14ac:dyDescent="0.25">
      <c r="A30" s="158" t="s">
        <v>260</v>
      </c>
      <c r="B30" s="45"/>
      <c r="C30" s="76"/>
      <c r="D30" s="45"/>
      <c r="E30" s="76"/>
      <c r="F30" s="38">
        <f>B30*Reference!D15</f>
        <v>0</v>
      </c>
      <c r="G30" s="176">
        <f>D30*Reference!D15</f>
        <v>0</v>
      </c>
      <c r="H30" s="39">
        <f>F30-G30</f>
        <v>0</v>
      </c>
      <c r="I30" s="165"/>
    </row>
    <row r="31" spans="1:30" x14ac:dyDescent="0.25">
      <c r="A31" s="158"/>
      <c r="B31" s="180"/>
      <c r="C31" s="76"/>
      <c r="D31" s="180"/>
      <c r="E31" s="76"/>
      <c r="F31" s="181"/>
      <c r="G31" s="182"/>
      <c r="H31" s="183"/>
      <c r="I31" s="165"/>
    </row>
    <row r="32" spans="1:30" ht="30" x14ac:dyDescent="0.25">
      <c r="A32" s="158" t="s">
        <v>261</v>
      </c>
      <c r="B32" s="45"/>
      <c r="C32" s="76"/>
      <c r="D32" s="45"/>
      <c r="E32" s="76"/>
      <c r="F32" s="38">
        <f>B32*Reference!D45</f>
        <v>0</v>
      </c>
      <c r="G32" s="176">
        <f>D32*Reference!D45</f>
        <v>0</v>
      </c>
      <c r="H32" s="39">
        <f>F32-G32</f>
        <v>0</v>
      </c>
      <c r="I32" s="165"/>
    </row>
    <row r="33" spans="1:20" ht="30" x14ac:dyDescent="0.25">
      <c r="A33" s="158" t="s">
        <v>262</v>
      </c>
      <c r="B33" s="45"/>
      <c r="C33" s="76"/>
      <c r="D33" s="45"/>
      <c r="E33" s="76"/>
      <c r="F33" s="38">
        <f>B33*Reference!D21</f>
        <v>0</v>
      </c>
      <c r="G33" s="176">
        <f>D33*Reference!D21</f>
        <v>0</v>
      </c>
      <c r="H33" s="39">
        <f t="shared" ref="H33:H36" si="4">F33-G33</f>
        <v>0</v>
      </c>
      <c r="I33" s="165"/>
    </row>
    <row r="34" spans="1:20" ht="30" x14ac:dyDescent="0.25">
      <c r="A34" s="158" t="s">
        <v>263</v>
      </c>
      <c r="B34" s="45"/>
      <c r="C34" s="76"/>
      <c r="D34" s="45"/>
      <c r="E34" s="76"/>
      <c r="F34" s="38">
        <f>B34*Reference!D46</f>
        <v>0</v>
      </c>
      <c r="G34" s="176">
        <f>D34*Reference!D46</f>
        <v>0</v>
      </c>
      <c r="H34" s="39">
        <f t="shared" si="4"/>
        <v>0</v>
      </c>
      <c r="I34" s="165"/>
    </row>
    <row r="35" spans="1:20" ht="30" x14ac:dyDescent="0.25">
      <c r="A35" s="158" t="s">
        <v>264</v>
      </c>
      <c r="B35" s="45"/>
      <c r="C35" s="76"/>
      <c r="D35" s="45"/>
      <c r="E35" s="76"/>
      <c r="F35" s="38">
        <f>B35*Reference!D20</f>
        <v>0</v>
      </c>
      <c r="G35" s="176">
        <f>D35*Reference!D20</f>
        <v>0</v>
      </c>
      <c r="H35" s="39">
        <f t="shared" si="4"/>
        <v>0</v>
      </c>
      <c r="I35" s="165"/>
    </row>
    <row r="36" spans="1:20" ht="30" x14ac:dyDescent="0.25">
      <c r="A36" s="158" t="s">
        <v>265</v>
      </c>
      <c r="B36" s="46"/>
      <c r="C36" s="78"/>
      <c r="D36" s="46"/>
      <c r="E36" s="78"/>
      <c r="F36" s="42">
        <f>B36*Reference!D32</f>
        <v>0</v>
      </c>
      <c r="G36" s="43">
        <f>D36*Reference!D32</f>
        <v>0</v>
      </c>
      <c r="H36" s="44">
        <f t="shared" si="4"/>
        <v>0</v>
      </c>
      <c r="I36" s="165"/>
    </row>
    <row r="37" spans="1:20" x14ac:dyDescent="0.25">
      <c r="A37" s="165"/>
      <c r="B37" s="187"/>
      <c r="C37" s="165"/>
      <c r="D37" s="187"/>
      <c r="E37" s="165"/>
      <c r="F37" s="188"/>
      <c r="G37" s="188"/>
      <c r="H37" s="188"/>
      <c r="I37" s="165"/>
    </row>
    <row r="38" spans="1:20" ht="21" x14ac:dyDescent="0.35">
      <c r="E38" s="189"/>
      <c r="F38" s="190">
        <f>SUM(F24:F37)</f>
        <v>0</v>
      </c>
      <c r="G38" s="190">
        <f>SUM(G24:G37)</f>
        <v>0</v>
      </c>
      <c r="H38" s="190">
        <f>SUM(H24:H37)</f>
        <v>0</v>
      </c>
      <c r="I38" s="191" t="s">
        <v>268</v>
      </c>
    </row>
    <row r="39" spans="1:20" ht="21" x14ac:dyDescent="0.35">
      <c r="E39" s="189"/>
      <c r="F39" s="167"/>
      <c r="G39" s="167"/>
      <c r="H39" s="192">
        <f>T27</f>
        <v>0</v>
      </c>
      <c r="I39" s="191" t="s">
        <v>271</v>
      </c>
    </row>
    <row r="42" spans="1:20" ht="21" x14ac:dyDescent="0.35">
      <c r="D42" s="187"/>
      <c r="E42" s="165"/>
      <c r="F42" s="193"/>
      <c r="G42" s="193"/>
      <c r="H42" s="193"/>
      <c r="I42" s="191"/>
    </row>
    <row r="43" spans="1:20" ht="21" x14ac:dyDescent="0.35">
      <c r="D43" s="187"/>
      <c r="E43" s="165"/>
      <c r="F43" s="193"/>
      <c r="G43" s="193"/>
      <c r="H43" s="193"/>
      <c r="I43" s="191"/>
    </row>
    <row r="44" spans="1:20" ht="21" x14ac:dyDescent="0.35">
      <c r="A44" s="21" t="s">
        <v>196</v>
      </c>
      <c r="B44" s="162"/>
      <c r="C44" s="20"/>
      <c r="D44" s="162"/>
      <c r="E44" s="162"/>
      <c r="F44" s="162"/>
      <c r="G44" s="162"/>
      <c r="H44" s="162"/>
      <c r="I44" s="162"/>
      <c r="J44" s="162"/>
      <c r="K44" s="162"/>
      <c r="L44" s="162"/>
      <c r="M44" s="162"/>
      <c r="N44" s="162"/>
      <c r="O44" s="162"/>
      <c r="P44" s="162"/>
      <c r="Q44" s="162"/>
      <c r="R44" s="162"/>
      <c r="S44" s="162"/>
      <c r="T44" s="162"/>
    </row>
    <row r="45" spans="1:20" x14ac:dyDescent="0.25">
      <c r="A45" t="s">
        <v>303</v>
      </c>
    </row>
    <row r="47" spans="1:20" x14ac:dyDescent="0.25">
      <c r="A47" s="1" t="s">
        <v>181</v>
      </c>
      <c r="I47" s="165"/>
      <c r="J47" s="1" t="s">
        <v>301</v>
      </c>
    </row>
    <row r="48" spans="1:20" ht="45" x14ac:dyDescent="0.25">
      <c r="B48" s="47" t="s">
        <v>180</v>
      </c>
      <c r="C48" s="48" t="s">
        <v>182</v>
      </c>
      <c r="D48" s="166" t="s">
        <v>276</v>
      </c>
      <c r="E48" s="166" t="s">
        <v>277</v>
      </c>
      <c r="F48" s="166" t="s">
        <v>278</v>
      </c>
      <c r="J48" s="168"/>
      <c r="K48" s="61" t="s">
        <v>212</v>
      </c>
      <c r="L48" s="169"/>
      <c r="M48" s="169"/>
      <c r="N48" s="169"/>
      <c r="O48" s="169"/>
      <c r="P48" s="169"/>
      <c r="Q48" s="169"/>
      <c r="R48" s="169"/>
      <c r="S48" s="169"/>
      <c r="T48" s="170"/>
    </row>
    <row r="49" spans="1:20" x14ac:dyDescent="0.25">
      <c r="B49" s="50"/>
      <c r="C49" s="51"/>
      <c r="D49" s="194"/>
      <c r="E49" s="167"/>
      <c r="F49" s="195"/>
      <c r="J49" s="62" t="s">
        <v>272</v>
      </c>
      <c r="K49" s="173" t="s">
        <v>211</v>
      </c>
      <c r="L49" s="174" t="s">
        <v>202</v>
      </c>
      <c r="M49" s="174" t="s">
        <v>203</v>
      </c>
      <c r="N49" s="174" t="s">
        <v>204</v>
      </c>
      <c r="O49" s="174" t="s">
        <v>205</v>
      </c>
      <c r="P49" s="174" t="s">
        <v>206</v>
      </c>
      <c r="Q49" s="174" t="s">
        <v>207</v>
      </c>
      <c r="R49" s="174" t="s">
        <v>208</v>
      </c>
      <c r="S49" s="174" t="s">
        <v>209</v>
      </c>
      <c r="T49" s="63" t="s">
        <v>210</v>
      </c>
    </row>
    <row r="50" spans="1:20" x14ac:dyDescent="0.25">
      <c r="A50" s="93" t="s">
        <v>283</v>
      </c>
      <c r="B50" s="49">
        <v>9.6000000000000002E-2</v>
      </c>
      <c r="C50" s="53">
        <f>B28-D28</f>
        <v>0</v>
      </c>
      <c r="D50" s="35">
        <f>B50*B28</f>
        <v>0</v>
      </c>
      <c r="E50" s="34">
        <f>B50*D28</f>
        <v>0</v>
      </c>
      <c r="F50" s="36">
        <f>D50-E50</f>
        <v>0</v>
      </c>
      <c r="J50" s="177"/>
      <c r="K50" s="178">
        <f>D20</f>
        <v>2025</v>
      </c>
      <c r="L50" s="178">
        <f>K50+1</f>
        <v>2026</v>
      </c>
      <c r="M50" s="178">
        <f>L50+1</f>
        <v>2027</v>
      </c>
      <c r="N50" s="178">
        <f>M50+1</f>
        <v>2028</v>
      </c>
      <c r="O50" s="178">
        <f t="shared" ref="O50:T50" si="5">N50+1</f>
        <v>2029</v>
      </c>
      <c r="P50" s="178">
        <f t="shared" si="5"/>
        <v>2030</v>
      </c>
      <c r="Q50" s="178">
        <f t="shared" si="5"/>
        <v>2031</v>
      </c>
      <c r="R50" s="178">
        <f t="shared" si="5"/>
        <v>2032</v>
      </c>
      <c r="S50" s="178">
        <f t="shared" si="5"/>
        <v>2033</v>
      </c>
      <c r="T50" s="64">
        <f t="shared" si="5"/>
        <v>2034</v>
      </c>
    </row>
    <row r="51" spans="1:20" x14ac:dyDescent="0.25">
      <c r="A51" s="157"/>
      <c r="B51" s="196"/>
      <c r="C51" s="97"/>
      <c r="D51" s="54"/>
      <c r="E51" s="55"/>
      <c r="F51" s="97"/>
      <c r="J51" s="184" t="s">
        <v>273</v>
      </c>
      <c r="K51" s="80">
        <f>$D$67</f>
        <v>0</v>
      </c>
      <c r="L51" s="80">
        <f t="shared" ref="L51:T51" si="6">$D$67</f>
        <v>0</v>
      </c>
      <c r="M51" s="80">
        <f t="shared" si="6"/>
        <v>0</v>
      </c>
      <c r="N51" s="80">
        <f t="shared" si="6"/>
        <v>0</v>
      </c>
      <c r="O51" s="80">
        <f t="shared" si="6"/>
        <v>0</v>
      </c>
      <c r="P51" s="80">
        <f t="shared" si="6"/>
        <v>0</v>
      </c>
      <c r="Q51" s="80">
        <f t="shared" si="6"/>
        <v>0</v>
      </c>
      <c r="R51" s="80">
        <f t="shared" si="6"/>
        <v>0</v>
      </c>
      <c r="S51" s="80">
        <f t="shared" si="6"/>
        <v>0</v>
      </c>
      <c r="T51" s="80">
        <f t="shared" si="6"/>
        <v>0</v>
      </c>
    </row>
    <row r="52" spans="1:20" ht="30" x14ac:dyDescent="0.25">
      <c r="A52" s="1" t="s">
        <v>183</v>
      </c>
      <c r="B52" s="50" t="s">
        <v>186</v>
      </c>
      <c r="C52" s="51" t="s">
        <v>187</v>
      </c>
      <c r="D52" s="54"/>
      <c r="E52" s="55"/>
      <c r="F52" s="97"/>
      <c r="J52" s="81" t="s">
        <v>274</v>
      </c>
      <c r="K52" s="80">
        <f>$E$67</f>
        <v>0</v>
      </c>
      <c r="L52" s="80">
        <f t="shared" ref="L52:T52" si="7">$E$67</f>
        <v>0</v>
      </c>
      <c r="M52" s="80">
        <f t="shared" si="7"/>
        <v>0</v>
      </c>
      <c r="N52" s="80">
        <f t="shared" si="7"/>
        <v>0</v>
      </c>
      <c r="O52" s="80">
        <f t="shared" si="7"/>
        <v>0</v>
      </c>
      <c r="P52" s="80">
        <f t="shared" si="7"/>
        <v>0</v>
      </c>
      <c r="Q52" s="80">
        <f t="shared" si="7"/>
        <v>0</v>
      </c>
      <c r="R52" s="80">
        <f t="shared" si="7"/>
        <v>0</v>
      </c>
      <c r="S52" s="80">
        <f t="shared" si="7"/>
        <v>0</v>
      </c>
      <c r="T52" s="80">
        <f t="shared" si="7"/>
        <v>0</v>
      </c>
    </row>
    <row r="53" spans="1:20" ht="30" x14ac:dyDescent="0.25">
      <c r="A53" s="93" t="s">
        <v>284</v>
      </c>
      <c r="B53" s="49">
        <v>1.2321772639691713</v>
      </c>
      <c r="C53" s="58">
        <f>B30-D30</f>
        <v>0</v>
      </c>
      <c r="D53" s="56">
        <f>B53*B30</f>
        <v>0</v>
      </c>
      <c r="E53" s="57">
        <f>B53*D30</f>
        <v>0</v>
      </c>
      <c r="F53" s="36">
        <f t="shared" ref="F53:F65" si="8">D53-E53</f>
        <v>0</v>
      </c>
      <c r="J53" s="81" t="s">
        <v>305</v>
      </c>
      <c r="K53" s="80">
        <f>$F$67</f>
        <v>0</v>
      </c>
      <c r="L53" s="80">
        <f>$K$53+K53</f>
        <v>0</v>
      </c>
      <c r="M53" s="80">
        <f t="shared" ref="M53:T53" si="9">$K$53+L53</f>
        <v>0</v>
      </c>
      <c r="N53" s="80">
        <f t="shared" si="9"/>
        <v>0</v>
      </c>
      <c r="O53" s="80">
        <f t="shared" si="9"/>
        <v>0</v>
      </c>
      <c r="P53" s="80">
        <f t="shared" si="9"/>
        <v>0</v>
      </c>
      <c r="Q53" s="80">
        <f t="shared" si="9"/>
        <v>0</v>
      </c>
      <c r="R53" s="80">
        <f t="shared" si="9"/>
        <v>0</v>
      </c>
      <c r="S53" s="80">
        <f t="shared" si="9"/>
        <v>0</v>
      </c>
      <c r="T53" s="80">
        <f t="shared" si="9"/>
        <v>0</v>
      </c>
    </row>
    <row r="54" spans="1:20" x14ac:dyDescent="0.25">
      <c r="B54" s="196"/>
      <c r="C54" s="97"/>
      <c r="D54" s="54"/>
      <c r="E54" s="55"/>
      <c r="F54" s="97"/>
    </row>
    <row r="55" spans="1:20" x14ac:dyDescent="0.25">
      <c r="A55" s="1" t="s">
        <v>285</v>
      </c>
      <c r="B55" s="196"/>
      <c r="C55" s="97"/>
      <c r="D55" s="54"/>
      <c r="E55" s="55"/>
      <c r="F55" s="97"/>
    </row>
    <row r="56" spans="1:20" x14ac:dyDescent="0.25">
      <c r="B56" s="50" t="s">
        <v>184</v>
      </c>
      <c r="C56" s="51" t="s">
        <v>185</v>
      </c>
      <c r="D56" s="54"/>
      <c r="E56" s="55"/>
      <c r="F56" s="97"/>
    </row>
    <row r="57" spans="1:20" x14ac:dyDescent="0.25">
      <c r="A57" s="157" t="s">
        <v>15</v>
      </c>
      <c r="B57" s="49">
        <v>4.1399999999999997</v>
      </c>
      <c r="C57" s="58">
        <f>B24-D24</f>
        <v>0</v>
      </c>
      <c r="D57" s="56">
        <f>B57*B24</f>
        <v>0</v>
      </c>
      <c r="E57" s="57">
        <f>B57*D24</f>
        <v>0</v>
      </c>
      <c r="F57" s="36">
        <f t="shared" si="8"/>
        <v>0</v>
      </c>
    </row>
    <row r="58" spans="1:20" x14ac:dyDescent="0.25">
      <c r="A58" s="157" t="s">
        <v>21</v>
      </c>
      <c r="B58" s="49">
        <v>4.41</v>
      </c>
      <c r="C58" s="58">
        <f>B26-D26</f>
        <v>0</v>
      </c>
      <c r="D58" s="56">
        <f>B58*B26</f>
        <v>0</v>
      </c>
      <c r="E58" s="57">
        <f>B58*D26</f>
        <v>0</v>
      </c>
      <c r="F58" s="36">
        <f t="shared" si="8"/>
        <v>0</v>
      </c>
    </row>
    <row r="59" spans="1:20" x14ac:dyDescent="0.25">
      <c r="A59" s="158" t="s">
        <v>286</v>
      </c>
      <c r="B59" s="49">
        <v>6.65</v>
      </c>
      <c r="C59" s="58">
        <f>B32-D32</f>
        <v>0</v>
      </c>
      <c r="D59" s="56">
        <f>B59*B32</f>
        <v>0</v>
      </c>
      <c r="E59" s="57">
        <f>B59*D32</f>
        <v>0</v>
      </c>
      <c r="F59" s="36">
        <f t="shared" si="8"/>
        <v>0</v>
      </c>
    </row>
    <row r="60" spans="1:20" x14ac:dyDescent="0.25">
      <c r="A60" s="158" t="s">
        <v>520</v>
      </c>
      <c r="B60" s="49">
        <v>3.92</v>
      </c>
      <c r="C60" s="58">
        <f>B33-D33</f>
        <v>0</v>
      </c>
      <c r="D60" s="56">
        <f>B60*B33</f>
        <v>0</v>
      </c>
      <c r="E60" s="57">
        <f>B60*D33</f>
        <v>0</v>
      </c>
      <c r="F60" s="36">
        <f t="shared" si="8"/>
        <v>0</v>
      </c>
    </row>
    <row r="61" spans="1:20" x14ac:dyDescent="0.25">
      <c r="A61" s="158" t="s">
        <v>252</v>
      </c>
      <c r="B61" s="49">
        <v>6.4</v>
      </c>
      <c r="C61" s="58">
        <f>B34-D34</f>
        <v>0</v>
      </c>
      <c r="D61" s="56">
        <f>B61*B34</f>
        <v>0</v>
      </c>
      <c r="E61" s="57">
        <f>B61*D34</f>
        <v>0</v>
      </c>
      <c r="F61" s="36">
        <f t="shared" si="8"/>
        <v>0</v>
      </c>
    </row>
    <row r="62" spans="1:20" x14ac:dyDescent="0.25">
      <c r="A62" s="158" t="s">
        <v>287</v>
      </c>
      <c r="B62" s="49">
        <v>2.75</v>
      </c>
      <c r="C62" s="58">
        <f>B35-D35</f>
        <v>0</v>
      </c>
      <c r="D62" s="56">
        <f>B62*B35</f>
        <v>0</v>
      </c>
      <c r="E62" s="57">
        <f>B62*D35</f>
        <v>0</v>
      </c>
      <c r="F62" s="36">
        <f t="shared" si="8"/>
        <v>0</v>
      </c>
    </row>
    <row r="63" spans="1:20" x14ac:dyDescent="0.25">
      <c r="B63" s="196"/>
      <c r="C63" s="97"/>
      <c r="D63" s="54"/>
      <c r="E63" s="55"/>
      <c r="F63" s="97"/>
    </row>
    <row r="64" spans="1:20" x14ac:dyDescent="0.25">
      <c r="B64" s="196"/>
      <c r="C64" s="97"/>
      <c r="D64" s="54"/>
      <c r="E64" s="55"/>
      <c r="F64" s="97"/>
    </row>
    <row r="65" spans="1:20" ht="30" x14ac:dyDescent="0.25">
      <c r="A65" s="197" t="s">
        <v>253</v>
      </c>
      <c r="B65" s="52"/>
      <c r="C65" s="198">
        <f>B36-D36</f>
        <v>0</v>
      </c>
      <c r="D65" s="59">
        <f>B65*B36</f>
        <v>0</v>
      </c>
      <c r="E65" s="60">
        <f>B65*D36</f>
        <v>0</v>
      </c>
      <c r="F65" s="37">
        <f t="shared" si="8"/>
        <v>0</v>
      </c>
    </row>
    <row r="67" spans="1:20" ht="21" x14ac:dyDescent="0.35">
      <c r="B67" s="33"/>
      <c r="D67" s="190">
        <f>SUM(D50:D65)</f>
        <v>0</v>
      </c>
      <c r="E67" s="190">
        <f>SUM(E50:E65)</f>
        <v>0</v>
      </c>
      <c r="F67" s="31">
        <f>SUM(F50:F65)</f>
        <v>0</v>
      </c>
      <c r="G67" s="191" t="s">
        <v>269</v>
      </c>
    </row>
    <row r="68" spans="1:20" ht="21" x14ac:dyDescent="0.35">
      <c r="F68" s="32">
        <f>T53</f>
        <v>0</v>
      </c>
      <c r="G68" s="191" t="s">
        <v>270</v>
      </c>
    </row>
    <row r="72" spans="1:20" ht="21" x14ac:dyDescent="0.35">
      <c r="A72" s="199" t="s">
        <v>197</v>
      </c>
      <c r="B72" s="162"/>
      <c r="C72" s="162"/>
      <c r="D72" s="162"/>
      <c r="E72" s="162"/>
      <c r="F72" s="162"/>
      <c r="G72" s="162"/>
      <c r="H72" s="162"/>
      <c r="I72" s="162"/>
      <c r="J72" s="162"/>
      <c r="K72" s="162"/>
      <c r="L72" s="162"/>
      <c r="M72" s="162"/>
      <c r="N72" s="162"/>
      <c r="O72" s="162"/>
      <c r="P72" s="162"/>
      <c r="Q72" s="162"/>
      <c r="R72" s="162"/>
      <c r="S72" s="162"/>
      <c r="T72" s="162"/>
    </row>
    <row r="73" spans="1:20" ht="18.75" x14ac:dyDescent="0.3">
      <c r="A73" s="82" t="s">
        <v>310</v>
      </c>
      <c r="B73" s="200"/>
      <c r="D73" s="79">
        <v>0</v>
      </c>
      <c r="E73" s="201" t="s">
        <v>307</v>
      </c>
      <c r="G73" s="200"/>
    </row>
    <row r="74" spans="1:20" ht="18.75" x14ac:dyDescent="0.25">
      <c r="B74" s="201"/>
      <c r="C74" s="201"/>
      <c r="D74" s="79">
        <v>0</v>
      </c>
      <c r="E74" s="201" t="s">
        <v>308</v>
      </c>
      <c r="G74" s="201"/>
    </row>
    <row r="76" spans="1:20" x14ac:dyDescent="0.25">
      <c r="A76" t="s">
        <v>198</v>
      </c>
      <c r="D76" s="19" t="s">
        <v>189</v>
      </c>
      <c r="I76" s="201"/>
    </row>
    <row r="77" spans="1:20" x14ac:dyDescent="0.25">
      <c r="A77" t="s">
        <v>191</v>
      </c>
      <c r="D77" s="19" t="s">
        <v>190</v>
      </c>
      <c r="I77" s="201"/>
    </row>
    <row r="78" spans="1:20" x14ac:dyDescent="0.25">
      <c r="A78" t="s">
        <v>193</v>
      </c>
      <c r="D78" s="19" t="s">
        <v>192</v>
      </c>
    </row>
  </sheetData>
  <mergeCells count="10">
    <mergeCell ref="B22:C22"/>
    <mergeCell ref="D22:E22"/>
    <mergeCell ref="A2:H3"/>
    <mergeCell ref="A12:F12"/>
    <mergeCell ref="A13:F13"/>
    <mergeCell ref="A14:F14"/>
    <mergeCell ref="A15:F15"/>
    <mergeCell ref="A16:F16"/>
    <mergeCell ref="A5:H8"/>
    <mergeCell ref="A4:H4"/>
  </mergeCells>
  <phoneticPr fontId="51" type="noConversion"/>
  <hyperlinks>
    <hyperlink ref="D76" r:id="rId1" xr:uid="{21C5E177-0E1E-404D-8FE6-61CA9E1663A2}"/>
    <hyperlink ref="D77" r:id="rId2" xr:uid="{E5FDB2E6-D4FD-422C-A703-1164BF5BC9B4}"/>
    <hyperlink ref="D78" r:id="rId3" xr:uid="{B1763D01-D5FD-4025-9257-913B1DAE218B}"/>
    <hyperlink ref="A10" r:id="rId4" xr:uid="{7FF274B5-34AD-4FEF-B708-B584EE5D8F64}"/>
  </hyperlinks>
  <pageMargins left="0.7" right="0.7" top="0.75" bottom="0.75" header="0.3" footer="0.3"/>
  <pageSetup orientation="portrait" r:id="rId5"/>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9AEF-B631-40BD-89F3-46CC23748BCD}">
  <sheetPr>
    <tabColor rgb="FFCCCCFF"/>
  </sheetPr>
  <dimension ref="A1:Y157"/>
  <sheetViews>
    <sheetView zoomScaleNormal="100" workbookViewId="0">
      <pane xSplit="1" ySplit="2" topLeftCell="O3" activePane="bottomRight" state="frozen"/>
      <selection pane="topRight" activeCell="B1" sqref="B1"/>
      <selection pane="bottomLeft" activeCell="A3" sqref="A3"/>
      <selection pane="bottomRight" activeCell="P2" sqref="P2"/>
    </sheetView>
  </sheetViews>
  <sheetFormatPr defaultColWidth="8.85546875" defaultRowHeight="15.75" x14ac:dyDescent="0.25"/>
  <cols>
    <col min="1" max="1" width="40" style="2" bestFit="1" customWidth="1"/>
    <col min="2" max="3" width="10.28515625" style="2" customWidth="1"/>
    <col min="4" max="4" width="10.7109375" style="2" customWidth="1"/>
    <col min="5" max="12" width="11.42578125" style="2" bestFit="1" customWidth="1"/>
    <col min="13" max="13" width="12" style="2" bestFit="1" customWidth="1"/>
    <col min="14" max="15" width="10.85546875" style="2" customWidth="1"/>
    <col min="16" max="16" width="13" style="2" customWidth="1"/>
    <col min="17" max="19" width="16.28515625" style="2" customWidth="1"/>
    <col min="20" max="20" width="16.28515625" style="235" customWidth="1"/>
    <col min="21" max="25" width="16.28515625" style="2" customWidth="1"/>
    <col min="26" max="26" width="19.28515625" style="2" customWidth="1"/>
    <col min="27" max="16384" width="8.85546875" style="2"/>
  </cols>
  <sheetData>
    <row r="1" spans="1:25" x14ac:dyDescent="0.25">
      <c r="A1" s="227" t="s">
        <v>380</v>
      </c>
      <c r="C1" s="215"/>
      <c r="D1" s="215"/>
      <c r="E1" s="214"/>
      <c r="F1" s="215"/>
      <c r="G1" s="215"/>
      <c r="H1" s="215"/>
      <c r="I1" s="215"/>
      <c r="J1" s="214"/>
      <c r="K1" s="214"/>
    </row>
    <row r="2" spans="1:25" ht="63" x14ac:dyDescent="0.25">
      <c r="A2" s="216" t="s">
        <v>47</v>
      </c>
      <c r="B2" s="217">
        <v>2005</v>
      </c>
      <c r="C2" s="218">
        <v>2010</v>
      </c>
      <c r="D2" s="218">
        <v>2011</v>
      </c>
      <c r="E2" s="218">
        <v>2012</v>
      </c>
      <c r="F2" s="218">
        <v>2013</v>
      </c>
      <c r="G2" s="218">
        <v>2014</v>
      </c>
      <c r="H2" s="218">
        <v>2015</v>
      </c>
      <c r="I2" s="218">
        <v>2016</v>
      </c>
      <c r="J2" s="217">
        <v>2017</v>
      </c>
      <c r="K2" s="217">
        <v>2018</v>
      </c>
      <c r="L2" s="217">
        <v>2019</v>
      </c>
      <c r="M2" s="217">
        <v>2020</v>
      </c>
      <c r="N2" s="217">
        <v>2021</v>
      </c>
      <c r="O2" s="217">
        <v>2022</v>
      </c>
      <c r="P2" s="217">
        <v>2023</v>
      </c>
      <c r="Q2" s="293" t="s">
        <v>364</v>
      </c>
      <c r="R2" s="218" t="s">
        <v>385</v>
      </c>
      <c r="S2" s="232" t="s">
        <v>365</v>
      </c>
      <c r="T2" s="218" t="s">
        <v>386</v>
      </c>
      <c r="U2" s="218" t="s">
        <v>363</v>
      </c>
      <c r="V2" s="233" t="s">
        <v>366</v>
      </c>
      <c r="W2" s="218" t="s">
        <v>339</v>
      </c>
      <c r="X2" s="234" t="s">
        <v>367</v>
      </c>
      <c r="Y2" s="218" t="s">
        <v>340</v>
      </c>
    </row>
    <row r="3" spans="1:25" x14ac:dyDescent="0.25">
      <c r="A3" s="2" t="s">
        <v>345</v>
      </c>
      <c r="B3" s="219">
        <v>21303</v>
      </c>
      <c r="C3" s="220">
        <v>20010</v>
      </c>
      <c r="D3" s="225">
        <v>20010</v>
      </c>
      <c r="E3" s="225">
        <v>20010</v>
      </c>
      <c r="F3" s="220">
        <v>22171</v>
      </c>
      <c r="G3" s="220">
        <v>21993</v>
      </c>
      <c r="H3" s="220">
        <v>21106</v>
      </c>
      <c r="I3" s="225">
        <v>24960</v>
      </c>
      <c r="J3" s="226">
        <v>24960</v>
      </c>
      <c r="K3" s="221">
        <v>24035</v>
      </c>
      <c r="L3" s="221">
        <v>23779</v>
      </c>
      <c r="M3" s="221">
        <v>19337.742564185341</v>
      </c>
      <c r="N3" s="221">
        <v>21082.166688497546</v>
      </c>
      <c r="O3" s="221">
        <v>23793.633805873033</v>
      </c>
      <c r="P3" s="221">
        <v>22766.71</v>
      </c>
      <c r="Q3" s="294">
        <v>18107.55</v>
      </c>
      <c r="R3" s="240">
        <f>(Q3-P3)/(1-Q3)</f>
        <v>0.25731903648127336</v>
      </c>
      <c r="S3" s="222">
        <v>11716.65</v>
      </c>
      <c r="T3" s="236">
        <f>(S3-P3)/(1-S3)</f>
        <v>0.94318795798781974</v>
      </c>
      <c r="U3" s="237">
        <f>P3-S3</f>
        <v>11050.06</v>
      </c>
      <c r="V3" s="223">
        <v>6391.9</v>
      </c>
      <c r="W3" s="237">
        <f>P3-V3</f>
        <v>16374.81</v>
      </c>
      <c r="X3" s="224">
        <v>1065.1500000000015</v>
      </c>
      <c r="Y3" s="237">
        <f>P3-X3</f>
        <v>21701.559999999998</v>
      </c>
    </row>
    <row r="4" spans="1:25" x14ac:dyDescent="0.25">
      <c r="A4" s="3" t="s">
        <v>361</v>
      </c>
      <c r="B4" s="219">
        <v>1800</v>
      </c>
      <c r="C4" s="220">
        <v>1800</v>
      </c>
      <c r="D4" s="220">
        <v>1800</v>
      </c>
      <c r="E4" s="220">
        <v>1739</v>
      </c>
      <c r="F4" s="220">
        <v>1649</v>
      </c>
      <c r="G4" s="220">
        <v>1960</v>
      </c>
      <c r="H4" s="220">
        <v>2324</v>
      </c>
      <c r="I4" s="220">
        <v>2388</v>
      </c>
      <c r="J4" s="221">
        <v>1868</v>
      </c>
      <c r="K4" s="221">
        <v>1957</v>
      </c>
      <c r="L4" s="221">
        <v>1760</v>
      </c>
      <c r="M4" s="221">
        <v>1472.3409305633422</v>
      </c>
      <c r="N4" s="230">
        <v>1707.4915091637934</v>
      </c>
      <c r="O4" s="230">
        <v>1496.1716591563104</v>
      </c>
      <c r="P4" s="230">
        <v>1841.29</v>
      </c>
      <c r="Q4" s="294">
        <v>1530</v>
      </c>
      <c r="R4" s="240">
        <f t="shared" ref="R4:R28" si="0">(Q4-P4)/(1-Q4)</f>
        <v>0.20359058207979069</v>
      </c>
      <c r="S4" s="222">
        <v>990</v>
      </c>
      <c r="T4" s="236">
        <f t="shared" ref="T4:T28" si="1">(S4-P4)/(1-S4)</f>
        <v>0.86075834175935284</v>
      </c>
      <c r="U4" s="237">
        <f t="shared" ref="U4:U28" si="2">P4-S4</f>
        <v>851.29</v>
      </c>
      <c r="V4" s="223">
        <v>450</v>
      </c>
      <c r="W4" s="237">
        <f>P4-V4</f>
        <v>1391.29</v>
      </c>
      <c r="X4" s="224">
        <v>90</v>
      </c>
      <c r="Y4" s="237">
        <f t="shared" ref="Y4:Y28" si="3">P4-X4</f>
        <v>1751.29</v>
      </c>
    </row>
    <row r="5" spans="1:25" ht="31.5" x14ac:dyDescent="0.25">
      <c r="A5" s="3" t="s">
        <v>378</v>
      </c>
      <c r="B5" s="219"/>
      <c r="C5" s="220"/>
      <c r="D5" s="220"/>
      <c r="E5" s="220"/>
      <c r="F5" s="220"/>
      <c r="G5" s="220"/>
      <c r="H5" s="220"/>
      <c r="I5" s="220"/>
      <c r="J5" s="221"/>
      <c r="K5" s="221"/>
      <c r="L5" s="221"/>
      <c r="M5" s="221"/>
      <c r="N5" s="230"/>
      <c r="O5" s="230">
        <v>3762.6654967828381</v>
      </c>
      <c r="P5" s="230">
        <v>6052.2</v>
      </c>
      <c r="Q5" s="294">
        <v>0</v>
      </c>
      <c r="R5" s="240"/>
      <c r="S5" s="222">
        <v>0</v>
      </c>
      <c r="T5" s="236"/>
      <c r="U5" s="221"/>
      <c r="V5" s="223">
        <v>0</v>
      </c>
      <c r="W5" s="237"/>
      <c r="X5" s="224">
        <v>0</v>
      </c>
      <c r="Y5" s="237"/>
    </row>
    <row r="6" spans="1:25" x14ac:dyDescent="0.25">
      <c r="A6" s="3" t="s">
        <v>362</v>
      </c>
      <c r="B6" s="219"/>
      <c r="C6" s="225"/>
      <c r="D6" s="225"/>
      <c r="E6" s="220"/>
      <c r="F6" s="220">
        <v>505.9</v>
      </c>
      <c r="G6" s="220">
        <v>482.5</v>
      </c>
      <c r="H6" s="220">
        <v>425.4</v>
      </c>
      <c r="I6" s="220"/>
      <c r="J6" s="221"/>
      <c r="K6" s="221"/>
      <c r="L6" s="221">
        <v>373</v>
      </c>
      <c r="M6" s="221">
        <v>1439.6921938422461</v>
      </c>
      <c r="N6" s="230">
        <v>267.10839571513236</v>
      </c>
      <c r="O6" s="230">
        <v>237.09963430569738</v>
      </c>
      <c r="P6" s="230">
        <v>244.77</v>
      </c>
      <c r="Q6" s="294">
        <v>0</v>
      </c>
      <c r="R6" s="240"/>
      <c r="S6" s="222">
        <v>0</v>
      </c>
      <c r="T6" s="236"/>
      <c r="U6" s="221"/>
      <c r="V6" s="223">
        <v>0</v>
      </c>
      <c r="W6" s="237"/>
      <c r="X6" s="224">
        <v>0</v>
      </c>
      <c r="Y6" s="237"/>
    </row>
    <row r="7" spans="1:25" x14ac:dyDescent="0.25">
      <c r="A7" s="2" t="s">
        <v>341</v>
      </c>
      <c r="B7" s="219">
        <v>90279</v>
      </c>
      <c r="C7" s="220">
        <v>77409</v>
      </c>
      <c r="D7" s="220">
        <v>71956</v>
      </c>
      <c r="E7" s="220">
        <v>69772</v>
      </c>
      <c r="F7" s="220">
        <v>75266</v>
      </c>
      <c r="G7" s="220">
        <v>78200</v>
      </c>
      <c r="H7" s="220">
        <v>71768</v>
      </c>
      <c r="I7" s="220">
        <v>71736</v>
      </c>
      <c r="J7" s="221">
        <v>71895</v>
      </c>
      <c r="K7" s="221">
        <v>71933</v>
      </c>
      <c r="L7" s="221">
        <v>63146</v>
      </c>
      <c r="M7" s="221">
        <v>44998.656665713439</v>
      </c>
      <c r="N7" s="221">
        <v>49573.826333768993</v>
      </c>
      <c r="O7" s="221">
        <v>50886.180315649071</v>
      </c>
      <c r="P7" s="221">
        <v>63146</v>
      </c>
      <c r="Q7" s="294">
        <v>76737.149999999994</v>
      </c>
      <c r="R7" s="240">
        <f t="shared" si="0"/>
        <v>-0.17711534915421212</v>
      </c>
      <c r="S7" s="222">
        <v>49653.45</v>
      </c>
      <c r="T7" s="236">
        <f t="shared" si="1"/>
        <v>0.27173986379322679</v>
      </c>
      <c r="U7" s="237">
        <f t="shared" si="2"/>
        <v>13492.550000000003</v>
      </c>
      <c r="V7" s="223">
        <v>27083.7</v>
      </c>
      <c r="W7" s="237">
        <f t="shared" ref="W7:W28" si="4">P7-V7</f>
        <v>36062.300000000003</v>
      </c>
      <c r="X7" s="224">
        <v>4513.9499999999971</v>
      </c>
      <c r="Y7" s="237">
        <f t="shared" si="3"/>
        <v>58632.05</v>
      </c>
    </row>
    <row r="8" spans="1:25" x14ac:dyDescent="0.25">
      <c r="A8" s="3" t="s">
        <v>360</v>
      </c>
      <c r="B8" s="219">
        <v>4677</v>
      </c>
      <c r="C8" s="220">
        <v>4542</v>
      </c>
      <c r="D8" s="220">
        <v>4016</v>
      </c>
      <c r="E8" s="220">
        <v>3710</v>
      </c>
      <c r="F8" s="220"/>
      <c r="G8" s="220">
        <v>3371</v>
      </c>
      <c r="H8" s="220">
        <v>3344</v>
      </c>
      <c r="I8" s="220">
        <v>3543</v>
      </c>
      <c r="J8" s="221">
        <v>3416</v>
      </c>
      <c r="K8" s="221">
        <v>2771</v>
      </c>
      <c r="L8" s="221">
        <v>2656</v>
      </c>
      <c r="M8" s="221">
        <v>1849.9072264141655</v>
      </c>
      <c r="N8" s="221">
        <v>2388.0188990384213</v>
      </c>
      <c r="O8" s="221">
        <v>3268.0630268661284</v>
      </c>
      <c r="P8" s="221">
        <v>2351.8200000000002</v>
      </c>
      <c r="Q8" s="294">
        <v>3975.45</v>
      </c>
      <c r="R8" s="240">
        <f t="shared" si="0"/>
        <v>-0.40851690170967048</v>
      </c>
      <c r="S8" s="222">
        <v>2572.35</v>
      </c>
      <c r="T8" s="236">
        <f t="shared" si="1"/>
        <v>-8.5764287242110077E-2</v>
      </c>
      <c r="U8" s="237">
        <f t="shared" si="2"/>
        <v>-220.52999999999975</v>
      </c>
      <c r="V8" s="223">
        <v>1403.1</v>
      </c>
      <c r="W8" s="237">
        <f t="shared" si="4"/>
        <v>948.72000000000025</v>
      </c>
      <c r="X8" s="224">
        <v>233.85000000000036</v>
      </c>
      <c r="Y8" s="237">
        <f t="shared" si="3"/>
        <v>2117.9699999999998</v>
      </c>
    </row>
    <row r="9" spans="1:25" x14ac:dyDescent="0.25">
      <c r="A9" s="2" t="s">
        <v>344</v>
      </c>
      <c r="B9" s="219">
        <v>22946</v>
      </c>
      <c r="C9" s="220">
        <v>21097</v>
      </c>
      <c r="D9" s="220">
        <v>24978</v>
      </c>
      <c r="E9" s="225">
        <v>24978</v>
      </c>
      <c r="F9" s="220">
        <v>21429</v>
      </c>
      <c r="G9" s="220">
        <v>21429</v>
      </c>
      <c r="H9" s="220">
        <v>19925</v>
      </c>
      <c r="I9" s="220">
        <v>17386</v>
      </c>
      <c r="J9" s="221">
        <v>17843</v>
      </c>
      <c r="K9" s="221">
        <v>13300</v>
      </c>
      <c r="L9" s="221">
        <v>14441</v>
      </c>
      <c r="M9" s="221">
        <v>13408.746123290857</v>
      </c>
      <c r="N9" s="221">
        <v>6287.9622454081837</v>
      </c>
      <c r="O9" s="221">
        <v>6635.1831901816868</v>
      </c>
      <c r="P9" s="221">
        <v>7951.49</v>
      </c>
      <c r="Q9" s="294">
        <v>19504.099999999999</v>
      </c>
      <c r="R9" s="240">
        <f t="shared" si="0"/>
        <v>-0.59234737041803609</v>
      </c>
      <c r="S9" s="222">
        <v>12620.3</v>
      </c>
      <c r="T9" s="236">
        <f t="shared" si="1"/>
        <v>-0.369973770335914</v>
      </c>
      <c r="U9" s="237">
        <f t="shared" si="2"/>
        <v>-4668.8099999999995</v>
      </c>
      <c r="V9" s="223">
        <v>6883.8</v>
      </c>
      <c r="W9" s="237">
        <f t="shared" si="4"/>
        <v>1067.6899999999996</v>
      </c>
      <c r="X9" s="224">
        <v>1147.3</v>
      </c>
      <c r="Y9" s="237">
        <f t="shared" si="3"/>
        <v>6804.19</v>
      </c>
    </row>
    <row r="10" spans="1:25" x14ac:dyDescent="0.25">
      <c r="A10" s="2" t="s">
        <v>347</v>
      </c>
      <c r="B10" s="219">
        <v>14964</v>
      </c>
      <c r="C10" s="220">
        <v>12634</v>
      </c>
      <c r="D10" s="220">
        <v>10463</v>
      </c>
      <c r="E10" s="220">
        <v>11136</v>
      </c>
      <c r="F10" s="220">
        <v>12570</v>
      </c>
      <c r="G10" s="220" t="s">
        <v>348</v>
      </c>
      <c r="H10" s="220" t="s">
        <v>349</v>
      </c>
      <c r="I10" s="220" t="s">
        <v>350</v>
      </c>
      <c r="J10" s="221">
        <v>9223</v>
      </c>
      <c r="K10" s="221">
        <v>9440</v>
      </c>
      <c r="L10" s="221">
        <v>9211</v>
      </c>
      <c r="M10" s="221">
        <v>8110.076444200864</v>
      </c>
      <c r="N10" s="221">
        <v>12837.519307028106</v>
      </c>
      <c r="O10" s="221">
        <v>12485.977860014591</v>
      </c>
      <c r="P10" s="221">
        <v>14036.95</v>
      </c>
      <c r="Q10" s="294">
        <v>12719.4</v>
      </c>
      <c r="R10" s="240">
        <f t="shared" si="0"/>
        <v>0.10359400553528754</v>
      </c>
      <c r="S10" s="222">
        <v>8230.2000000000007</v>
      </c>
      <c r="T10" s="236">
        <f t="shared" si="1"/>
        <v>0.70562752150877361</v>
      </c>
      <c r="U10" s="237">
        <f>P10-S10</f>
        <v>5806.75</v>
      </c>
      <c r="V10" s="223">
        <v>4489.2</v>
      </c>
      <c r="W10" s="237">
        <f t="shared" si="4"/>
        <v>9547.75</v>
      </c>
      <c r="X10" s="224">
        <v>748.2</v>
      </c>
      <c r="Y10" s="237">
        <f t="shared" si="3"/>
        <v>13288.75</v>
      </c>
    </row>
    <row r="11" spans="1:25" x14ac:dyDescent="0.25">
      <c r="A11" s="3" t="s">
        <v>356</v>
      </c>
      <c r="B11" s="219">
        <v>8131</v>
      </c>
      <c r="C11" s="225">
        <v>8131</v>
      </c>
      <c r="D11" s="225">
        <v>8131</v>
      </c>
      <c r="E11" s="225">
        <v>8131</v>
      </c>
      <c r="F11" s="220"/>
      <c r="G11" s="220"/>
      <c r="H11" s="220">
        <v>6239</v>
      </c>
      <c r="I11" s="220">
        <v>5696</v>
      </c>
      <c r="J11" s="221">
        <v>6385</v>
      </c>
      <c r="K11" s="221">
        <v>2013</v>
      </c>
      <c r="L11" s="221">
        <v>1831</v>
      </c>
      <c r="M11" s="221">
        <v>1149</v>
      </c>
      <c r="N11" s="221">
        <v>1098</v>
      </c>
      <c r="O11" s="221">
        <v>1525</v>
      </c>
      <c r="P11" s="221">
        <v>1532.42</v>
      </c>
      <c r="Q11" s="294">
        <v>6911.35</v>
      </c>
      <c r="R11" s="240">
        <f t="shared" si="0"/>
        <v>-0.77838749122692774</v>
      </c>
      <c r="S11" s="222">
        <v>4472.0499999999993</v>
      </c>
      <c r="T11" s="236">
        <f t="shared" si="1"/>
        <v>-0.65748090493284572</v>
      </c>
      <c r="U11" s="237">
        <f t="shared" si="2"/>
        <v>-2939.6299999999992</v>
      </c>
      <c r="V11" s="223">
        <v>2439.3000000000002</v>
      </c>
      <c r="W11" s="237">
        <f t="shared" si="4"/>
        <v>-906.88000000000011</v>
      </c>
      <c r="X11" s="224">
        <v>406.55000000000018</v>
      </c>
      <c r="Y11" s="237">
        <f t="shared" si="3"/>
        <v>1125.8699999999999</v>
      </c>
    </row>
    <row r="12" spans="1:25" x14ac:dyDescent="0.25">
      <c r="A12" s="2" t="s">
        <v>351</v>
      </c>
      <c r="B12" s="219">
        <v>10518</v>
      </c>
      <c r="C12" s="220">
        <v>9544</v>
      </c>
      <c r="D12" s="220">
        <v>8911</v>
      </c>
      <c r="E12" s="220">
        <v>10833</v>
      </c>
      <c r="F12" s="220">
        <v>10057</v>
      </c>
      <c r="G12" s="220">
        <v>10249</v>
      </c>
      <c r="H12" s="220">
        <v>9987</v>
      </c>
      <c r="I12" s="220">
        <v>10180</v>
      </c>
      <c r="J12" s="221">
        <v>9958</v>
      </c>
      <c r="K12" s="221">
        <v>9878</v>
      </c>
      <c r="L12" s="221">
        <v>10086</v>
      </c>
      <c r="M12" s="221">
        <v>9335.8281637646996</v>
      </c>
      <c r="N12" s="221">
        <v>11424.763375627936</v>
      </c>
      <c r="O12" s="221">
        <v>10027.093997318336</v>
      </c>
      <c r="P12" s="221">
        <v>11405.98</v>
      </c>
      <c r="Q12" s="294">
        <v>8940.2999999999993</v>
      </c>
      <c r="R12" s="240">
        <f t="shared" si="0"/>
        <v>0.27582472900562688</v>
      </c>
      <c r="S12" s="222">
        <v>5784.9</v>
      </c>
      <c r="T12" s="236">
        <f t="shared" si="1"/>
        <v>0.97184944414668306</v>
      </c>
      <c r="U12" s="237">
        <f t="shared" si="2"/>
        <v>5621.08</v>
      </c>
      <c r="V12" s="223">
        <v>3155.4</v>
      </c>
      <c r="W12" s="237">
        <f t="shared" si="4"/>
        <v>8250.58</v>
      </c>
      <c r="X12" s="224">
        <v>525.9</v>
      </c>
      <c r="Y12" s="237">
        <f t="shared" si="3"/>
        <v>10880.08</v>
      </c>
    </row>
    <row r="13" spans="1:25" x14ac:dyDescent="0.25">
      <c r="A13" s="2" t="s">
        <v>342</v>
      </c>
      <c r="B13" s="219">
        <v>54833</v>
      </c>
      <c r="C13" s="220">
        <v>53644</v>
      </c>
      <c r="D13" s="225">
        <v>53544</v>
      </c>
      <c r="E13" s="225">
        <v>53544</v>
      </c>
      <c r="F13" s="220">
        <v>47210</v>
      </c>
      <c r="G13" s="220">
        <v>46965</v>
      </c>
      <c r="H13" s="220">
        <v>38108</v>
      </c>
      <c r="I13" s="220">
        <v>38723</v>
      </c>
      <c r="J13" s="221">
        <v>40217</v>
      </c>
      <c r="K13" s="221">
        <v>39214</v>
      </c>
      <c r="L13" s="221">
        <v>36032</v>
      </c>
      <c r="M13" s="221">
        <v>34437.384491729521</v>
      </c>
      <c r="N13" s="292">
        <v>31509</v>
      </c>
      <c r="O13" s="292">
        <v>34241</v>
      </c>
      <c r="P13" s="221">
        <v>41516.15</v>
      </c>
      <c r="Q13" s="294">
        <v>46608.05</v>
      </c>
      <c r="R13" s="240">
        <f t="shared" si="0"/>
        <v>-0.10925171191911956</v>
      </c>
      <c r="S13" s="222">
        <v>30158.15</v>
      </c>
      <c r="T13" s="236">
        <f t="shared" si="1"/>
        <v>0.37662710169893371</v>
      </c>
      <c r="U13" s="237">
        <f t="shared" si="2"/>
        <v>11358</v>
      </c>
      <c r="V13" s="223">
        <v>16449.900000000001</v>
      </c>
      <c r="W13" s="237">
        <f t="shared" si="4"/>
        <v>25066.25</v>
      </c>
      <c r="X13" s="224">
        <v>2741.65</v>
      </c>
      <c r="Y13" s="237">
        <f t="shared" si="3"/>
        <v>38774.5</v>
      </c>
    </row>
    <row r="14" spans="1:25" x14ac:dyDescent="0.25">
      <c r="A14" s="3" t="s">
        <v>358</v>
      </c>
      <c r="B14" s="219">
        <v>5265</v>
      </c>
      <c r="C14" s="220">
        <v>5169</v>
      </c>
      <c r="D14" s="220">
        <v>5550</v>
      </c>
      <c r="E14" s="225"/>
      <c r="F14" s="225"/>
      <c r="G14" s="225"/>
      <c r="H14" s="225"/>
      <c r="I14" s="220"/>
      <c r="J14" s="226"/>
      <c r="K14" s="221"/>
      <c r="L14" s="221"/>
      <c r="M14" s="2" t="s">
        <v>2</v>
      </c>
      <c r="N14" s="221">
        <v>15028.984073815691</v>
      </c>
      <c r="O14" s="221">
        <v>6043.3016127320652</v>
      </c>
      <c r="P14" s="221">
        <v>6103.02</v>
      </c>
      <c r="Q14" s="294">
        <v>4475.25</v>
      </c>
      <c r="R14" s="240">
        <f t="shared" si="0"/>
        <v>0.36380845951835511</v>
      </c>
      <c r="S14" s="222">
        <v>2895.75</v>
      </c>
      <c r="T14" s="236">
        <f t="shared" si="1"/>
        <v>1.107960963813801</v>
      </c>
      <c r="U14" s="237">
        <f t="shared" si="2"/>
        <v>3207.2700000000004</v>
      </c>
      <c r="V14" s="223">
        <v>1579.5</v>
      </c>
      <c r="W14" s="291">
        <f>P14-V14</f>
        <v>4523.5200000000004</v>
      </c>
      <c r="X14" s="224">
        <v>263.25</v>
      </c>
      <c r="Y14" s="237">
        <f t="shared" si="3"/>
        <v>5839.77</v>
      </c>
    </row>
    <row r="15" spans="1:25" x14ac:dyDescent="0.25">
      <c r="A15" s="2" t="s">
        <v>501</v>
      </c>
      <c r="B15" s="219">
        <v>241893</v>
      </c>
      <c r="C15" s="220">
        <v>247977</v>
      </c>
      <c r="D15" s="220">
        <v>237191</v>
      </c>
      <c r="E15" s="220">
        <v>236565</v>
      </c>
      <c r="F15" s="220">
        <v>234910</v>
      </c>
      <c r="G15" s="220">
        <v>235046</v>
      </c>
      <c r="H15" s="220">
        <v>233882</v>
      </c>
      <c r="I15" s="220">
        <v>249659</v>
      </c>
      <c r="J15" s="221">
        <v>250958</v>
      </c>
      <c r="K15" s="221">
        <v>243718</v>
      </c>
      <c r="L15" s="221">
        <v>246383</v>
      </c>
      <c r="M15" s="221">
        <v>193869.20902967325</v>
      </c>
      <c r="N15" s="221">
        <v>202297.94965748902</v>
      </c>
      <c r="O15" s="221">
        <v>194354.48580142896</v>
      </c>
      <c r="P15" s="221">
        <v>189327.16</v>
      </c>
      <c r="Q15" s="294">
        <v>205609.05</v>
      </c>
      <c r="R15" s="240">
        <f t="shared" si="0"/>
        <v>-7.9188971443481831E-2</v>
      </c>
      <c r="S15" s="222">
        <v>133041.15</v>
      </c>
      <c r="T15" s="236">
        <f t="shared" si="1"/>
        <v>0.42307536484286895</v>
      </c>
      <c r="U15" s="237">
        <f t="shared" si="2"/>
        <v>56286.010000000009</v>
      </c>
      <c r="V15" s="223">
        <v>72567.899999999994</v>
      </c>
      <c r="W15" s="237">
        <f t="shared" si="4"/>
        <v>116759.26000000001</v>
      </c>
      <c r="X15" s="224">
        <v>12094.65</v>
      </c>
      <c r="Y15" s="237">
        <f t="shared" si="3"/>
        <v>177232.51</v>
      </c>
    </row>
    <row r="16" spans="1:25" x14ac:dyDescent="0.25">
      <c r="A16" s="2" t="s">
        <v>346</v>
      </c>
      <c r="B16" s="219">
        <v>20841</v>
      </c>
      <c r="C16" s="225">
        <v>20841</v>
      </c>
      <c r="D16" s="225">
        <v>20841</v>
      </c>
      <c r="E16" s="225">
        <v>20841</v>
      </c>
      <c r="F16" s="225">
        <v>20841</v>
      </c>
      <c r="G16" s="220">
        <v>23123</v>
      </c>
      <c r="H16" s="225">
        <v>23123</v>
      </c>
      <c r="I16" s="220">
        <v>26310</v>
      </c>
      <c r="J16" s="221">
        <v>21006</v>
      </c>
      <c r="K16" s="221">
        <v>20137</v>
      </c>
      <c r="L16" s="221">
        <v>18775</v>
      </c>
      <c r="M16" s="221">
        <v>18925.004862700967</v>
      </c>
      <c r="N16" s="221">
        <v>20771.704600247704</v>
      </c>
      <c r="O16" s="221">
        <v>19768.682474577385</v>
      </c>
      <c r="P16" s="221">
        <v>19626.59</v>
      </c>
      <c r="Q16" s="294">
        <v>17714.849999999999</v>
      </c>
      <c r="R16" s="240">
        <f t="shared" si="0"/>
        <v>0.10792346102061391</v>
      </c>
      <c r="S16" s="222">
        <v>11462.55</v>
      </c>
      <c r="T16" s="236">
        <f t="shared" si="1"/>
        <v>0.71229807486771002</v>
      </c>
      <c r="U16" s="237">
        <f t="shared" si="2"/>
        <v>8164.0400000000009</v>
      </c>
      <c r="V16" s="223">
        <v>6252.3</v>
      </c>
      <c r="W16" s="237">
        <f>P16-V16</f>
        <v>13374.29</v>
      </c>
      <c r="X16" s="224">
        <v>1042.0499999999993</v>
      </c>
      <c r="Y16" s="237">
        <f t="shared" si="3"/>
        <v>18584.54</v>
      </c>
    </row>
    <row r="17" spans="1:25" x14ac:dyDescent="0.25">
      <c r="A17" s="3" t="s">
        <v>353</v>
      </c>
      <c r="B17" s="219">
        <v>9454</v>
      </c>
      <c r="C17" s="220">
        <v>8356</v>
      </c>
      <c r="D17" s="220">
        <v>8407</v>
      </c>
      <c r="E17" s="225">
        <v>8407</v>
      </c>
      <c r="F17" s="220">
        <v>7947</v>
      </c>
      <c r="G17" s="225">
        <v>7947</v>
      </c>
      <c r="H17" s="220">
        <v>7305</v>
      </c>
      <c r="I17" s="220">
        <v>4855</v>
      </c>
      <c r="J17" s="221">
        <v>5326</v>
      </c>
      <c r="K17" s="221">
        <v>5069</v>
      </c>
      <c r="L17" s="221">
        <v>5017</v>
      </c>
      <c r="M17" s="221">
        <v>3777.1436139797906</v>
      </c>
      <c r="N17" s="221">
        <v>6353.8685562222263</v>
      </c>
      <c r="O17" s="221">
        <v>7414.5447654141508</v>
      </c>
      <c r="P17" s="221">
        <v>6797.94</v>
      </c>
      <c r="Q17" s="294">
        <v>8035.9</v>
      </c>
      <c r="R17" s="240">
        <f t="shared" si="0"/>
        <v>-0.15407285716063673</v>
      </c>
      <c r="S17" s="222">
        <v>5199.7</v>
      </c>
      <c r="T17" s="236">
        <f t="shared" si="1"/>
        <v>0.30743070382980359</v>
      </c>
      <c r="U17" s="237">
        <f t="shared" si="2"/>
        <v>1598.2399999999998</v>
      </c>
      <c r="V17" s="223">
        <v>2836.2</v>
      </c>
      <c r="W17" s="237">
        <f t="shared" si="4"/>
        <v>3961.74</v>
      </c>
      <c r="X17" s="224">
        <v>472.7</v>
      </c>
      <c r="Y17" s="237">
        <f t="shared" si="3"/>
        <v>6325.24</v>
      </c>
    </row>
    <row r="18" spans="1:25" x14ac:dyDescent="0.25">
      <c r="A18" s="3" t="s">
        <v>357</v>
      </c>
      <c r="B18" s="219">
        <v>5402</v>
      </c>
      <c r="C18" s="220">
        <v>5378</v>
      </c>
      <c r="D18" s="220">
        <v>4049</v>
      </c>
      <c r="E18" s="220">
        <v>3978</v>
      </c>
      <c r="F18" s="220">
        <v>2402</v>
      </c>
      <c r="G18" s="220">
        <v>4678</v>
      </c>
      <c r="H18" s="220">
        <v>4437</v>
      </c>
      <c r="I18" s="220">
        <v>5436</v>
      </c>
      <c r="J18" s="221">
        <v>5070</v>
      </c>
      <c r="K18" s="221">
        <v>4775</v>
      </c>
      <c r="L18" s="221">
        <v>4377</v>
      </c>
      <c r="M18" s="221">
        <v>3645.7852405181175</v>
      </c>
      <c r="N18" s="221">
        <v>4125.8358380676846</v>
      </c>
      <c r="O18" s="221">
        <v>4376.7596966862002</v>
      </c>
      <c r="P18" s="221">
        <v>2847.93</v>
      </c>
      <c r="Q18" s="294">
        <v>4591.7</v>
      </c>
      <c r="R18" s="240">
        <f t="shared" si="0"/>
        <v>-0.37984838913455465</v>
      </c>
      <c r="S18" s="222">
        <v>2971.1</v>
      </c>
      <c r="T18" s="236">
        <f t="shared" si="1"/>
        <v>-4.1469984175617008E-2</v>
      </c>
      <c r="U18" s="237">
        <f t="shared" si="2"/>
        <v>-123.17000000000007</v>
      </c>
      <c r="V18" s="223">
        <v>1620.6</v>
      </c>
      <c r="W18" s="237">
        <f t="shared" si="4"/>
        <v>1227.33</v>
      </c>
      <c r="X18" s="224">
        <v>270.10000000000002</v>
      </c>
      <c r="Y18" s="237">
        <f t="shared" si="3"/>
        <v>2577.83</v>
      </c>
    </row>
    <row r="19" spans="1:25" x14ac:dyDescent="0.25">
      <c r="A19" s="3" t="s">
        <v>359</v>
      </c>
      <c r="B19" s="219">
        <v>4842</v>
      </c>
      <c r="C19" s="220">
        <v>5211</v>
      </c>
      <c r="D19" s="220">
        <v>8907</v>
      </c>
      <c r="E19" s="220">
        <v>5349</v>
      </c>
      <c r="F19" s="220">
        <v>1144</v>
      </c>
      <c r="G19" s="220">
        <v>741</v>
      </c>
      <c r="H19" s="220">
        <v>955</v>
      </c>
      <c r="I19" s="220">
        <v>981</v>
      </c>
      <c r="J19" s="221">
        <v>1057</v>
      </c>
      <c r="K19" s="221">
        <v>972</v>
      </c>
      <c r="L19" s="221">
        <v>987</v>
      </c>
      <c r="M19" s="221">
        <v>532.00267362325349</v>
      </c>
      <c r="N19" s="221">
        <v>621.96238235353803</v>
      </c>
      <c r="O19" s="221">
        <v>632.55706236642072</v>
      </c>
      <c r="P19" s="221">
        <v>649.80999999999995</v>
      </c>
      <c r="Q19" s="294">
        <v>4115.7</v>
      </c>
      <c r="R19" s="240">
        <f t="shared" si="0"/>
        <v>-0.84231900260043258</v>
      </c>
      <c r="S19" s="222">
        <v>2663.1</v>
      </c>
      <c r="T19" s="236">
        <f t="shared" si="1"/>
        <v>-0.75627887757785206</v>
      </c>
      <c r="U19" s="237">
        <f t="shared" si="2"/>
        <v>-2013.29</v>
      </c>
      <c r="V19" s="223">
        <v>1452.6</v>
      </c>
      <c r="W19" s="237">
        <f t="shared" si="4"/>
        <v>-802.79</v>
      </c>
      <c r="X19" s="224">
        <v>242.1</v>
      </c>
      <c r="Y19" s="237">
        <f t="shared" si="3"/>
        <v>407.70999999999992</v>
      </c>
    </row>
    <row r="20" spans="1:25" x14ac:dyDescent="0.25">
      <c r="A20" s="2" t="s">
        <v>145</v>
      </c>
      <c r="B20" s="219"/>
      <c r="C20" s="225"/>
      <c r="D20" s="225"/>
      <c r="E20" s="220"/>
      <c r="F20" s="220"/>
      <c r="G20" s="220"/>
      <c r="H20" s="220"/>
      <c r="I20" s="220"/>
      <c r="J20" s="221"/>
      <c r="K20" s="221"/>
      <c r="L20" s="221"/>
      <c r="M20" s="221">
        <v>108.34032504232746</v>
      </c>
      <c r="N20" s="230">
        <v>133.66293785374847</v>
      </c>
      <c r="O20" s="230">
        <v>148.12087804851203</v>
      </c>
      <c r="P20" s="230">
        <v>127.84</v>
      </c>
      <c r="Q20" s="294">
        <v>0</v>
      </c>
      <c r="R20" s="240"/>
      <c r="S20" s="222">
        <v>0</v>
      </c>
      <c r="T20" s="236"/>
      <c r="U20" s="221"/>
      <c r="V20" s="223">
        <v>0</v>
      </c>
      <c r="W20" s="237"/>
      <c r="X20" s="224">
        <v>0</v>
      </c>
      <c r="Y20" s="237"/>
    </row>
    <row r="21" spans="1:25" x14ac:dyDescent="0.25">
      <c r="A21" s="3" t="s">
        <v>57</v>
      </c>
      <c r="N21" s="229">
        <v>0.5486341421009524</v>
      </c>
      <c r="O21" s="229">
        <v>1.7916952040644383</v>
      </c>
      <c r="P21" s="221">
        <v>1.03</v>
      </c>
      <c r="Q21" s="294">
        <v>0</v>
      </c>
      <c r="R21" s="240"/>
      <c r="S21" s="222">
        <v>0</v>
      </c>
      <c r="T21" s="236"/>
      <c r="U21" s="221"/>
      <c r="V21" s="223">
        <v>0</v>
      </c>
      <c r="W21" s="237"/>
      <c r="X21" s="224">
        <v>0</v>
      </c>
      <c r="Y21" s="237"/>
    </row>
    <row r="22" spans="1:25" x14ac:dyDescent="0.25">
      <c r="A22" s="3" t="s">
        <v>354</v>
      </c>
      <c r="B22" s="219">
        <v>9233</v>
      </c>
      <c r="C22" s="220">
        <v>11049</v>
      </c>
      <c r="D22" s="220">
        <v>9761</v>
      </c>
      <c r="E22" s="220">
        <v>9192</v>
      </c>
      <c r="F22" s="220">
        <v>9581</v>
      </c>
      <c r="G22" s="220">
        <v>9414</v>
      </c>
      <c r="H22" s="220">
        <v>8746</v>
      </c>
      <c r="I22" s="220">
        <v>3064</v>
      </c>
      <c r="J22" s="221">
        <v>3556</v>
      </c>
      <c r="K22" s="221">
        <v>4238</v>
      </c>
      <c r="L22" s="221">
        <v>3937</v>
      </c>
      <c r="M22" s="221">
        <v>6291</v>
      </c>
      <c r="N22" s="221">
        <v>6684.6529642885052</v>
      </c>
      <c r="O22" s="221">
        <v>7201.4885639550994</v>
      </c>
      <c r="P22" s="221">
        <v>7404.25</v>
      </c>
      <c r="Q22" s="294">
        <v>7848.05</v>
      </c>
      <c r="R22" s="240">
        <f t="shared" si="0"/>
        <v>-5.655628548307965E-2</v>
      </c>
      <c r="S22" s="222">
        <v>5078.1499999999996</v>
      </c>
      <c r="T22" s="236">
        <f t="shared" si="1"/>
        <v>0.4581507341717303</v>
      </c>
      <c r="U22" s="237">
        <f t="shared" si="2"/>
        <v>2326.1000000000004</v>
      </c>
      <c r="V22" s="223">
        <v>2769.9</v>
      </c>
      <c r="W22" s="237">
        <f t="shared" si="4"/>
        <v>4634.3500000000004</v>
      </c>
      <c r="X22" s="224">
        <v>461.65</v>
      </c>
      <c r="Y22" s="237">
        <f t="shared" si="3"/>
        <v>6942.6</v>
      </c>
    </row>
    <row r="23" spans="1:25" x14ac:dyDescent="0.25">
      <c r="A23" s="3" t="s">
        <v>352</v>
      </c>
      <c r="B23" s="219">
        <v>9599</v>
      </c>
      <c r="C23" s="225">
        <v>9599</v>
      </c>
      <c r="D23" s="225">
        <v>9599</v>
      </c>
      <c r="E23" s="225">
        <v>9599</v>
      </c>
      <c r="F23" s="220">
        <v>5511</v>
      </c>
      <c r="G23" s="220">
        <v>13215</v>
      </c>
      <c r="H23" s="225">
        <v>9478</v>
      </c>
      <c r="I23" s="220">
        <v>13216</v>
      </c>
      <c r="J23" s="221">
        <v>9478</v>
      </c>
      <c r="K23" s="221">
        <v>8828</v>
      </c>
      <c r="L23" s="221">
        <v>8575</v>
      </c>
      <c r="M23" s="221">
        <v>7922.1317217723654</v>
      </c>
      <c r="N23" s="221">
        <v>7996.520001273193</v>
      </c>
      <c r="O23" s="221">
        <v>8544.4585128317976</v>
      </c>
      <c r="P23" s="221">
        <v>7907.76</v>
      </c>
      <c r="Q23" s="294">
        <v>8159.15</v>
      </c>
      <c r="R23" s="240">
        <f t="shared" si="0"/>
        <v>-3.0814584188817249E-2</v>
      </c>
      <c r="S23" s="222">
        <v>5279.45</v>
      </c>
      <c r="T23" s="236">
        <f t="shared" si="1"/>
        <v>0.49793215811459812</v>
      </c>
      <c r="U23" s="237">
        <f t="shared" si="2"/>
        <v>2628.3100000000004</v>
      </c>
      <c r="V23" s="223">
        <v>2879.7</v>
      </c>
      <c r="W23" s="237">
        <f t="shared" si="4"/>
        <v>5028.0600000000004</v>
      </c>
      <c r="X23" s="224">
        <v>479.95</v>
      </c>
      <c r="Y23" s="237">
        <f t="shared" si="3"/>
        <v>7427.81</v>
      </c>
    </row>
    <row r="24" spans="1:25" x14ac:dyDescent="0.25">
      <c r="A24" s="3" t="s">
        <v>355</v>
      </c>
      <c r="B24" s="219">
        <v>8802</v>
      </c>
      <c r="C24" s="220">
        <v>9473</v>
      </c>
      <c r="D24" s="220">
        <v>9489</v>
      </c>
      <c r="E24" s="220">
        <v>7343</v>
      </c>
      <c r="F24" s="220">
        <v>8216</v>
      </c>
      <c r="G24" s="220">
        <v>6105</v>
      </c>
      <c r="H24" s="220">
        <v>6837</v>
      </c>
      <c r="I24" s="220">
        <v>6851</v>
      </c>
      <c r="J24" s="221">
        <v>6794</v>
      </c>
      <c r="K24" s="221">
        <v>8323</v>
      </c>
      <c r="L24" s="221">
        <v>6267</v>
      </c>
      <c r="M24" s="221">
        <v>5787.8659682408843</v>
      </c>
      <c r="N24" s="221">
        <v>6787.9061696028157</v>
      </c>
      <c r="O24" s="221">
        <v>6972.035954902628</v>
      </c>
      <c r="P24" s="221">
        <v>7719.74</v>
      </c>
      <c r="Q24" s="294">
        <v>7481.7</v>
      </c>
      <c r="R24" s="240">
        <f t="shared" si="0"/>
        <v>3.1820551552662182E-2</v>
      </c>
      <c r="S24" s="222">
        <v>4841.1000000000004</v>
      </c>
      <c r="T24" s="236">
        <f t="shared" si="1"/>
        <v>0.59474804239581813</v>
      </c>
      <c r="U24" s="237">
        <f t="shared" si="2"/>
        <v>2878.6399999999994</v>
      </c>
      <c r="V24" s="223">
        <v>2640.6</v>
      </c>
      <c r="W24" s="237">
        <f t="shared" si="4"/>
        <v>5079.1399999999994</v>
      </c>
      <c r="X24" s="224">
        <v>440.1</v>
      </c>
      <c r="Y24" s="237">
        <f t="shared" si="3"/>
        <v>7279.6399999999994</v>
      </c>
    </row>
    <row r="25" spans="1:25" x14ac:dyDescent="0.25">
      <c r="A25" s="2" t="s">
        <v>117</v>
      </c>
      <c r="B25" s="219">
        <v>156861</v>
      </c>
      <c r="C25" s="220">
        <v>156965</v>
      </c>
      <c r="D25" s="220">
        <v>136477</v>
      </c>
      <c r="E25" s="220">
        <v>138342</v>
      </c>
      <c r="F25" s="220">
        <v>150766</v>
      </c>
      <c r="G25" s="220">
        <v>155913</v>
      </c>
      <c r="H25" s="220">
        <v>156518</v>
      </c>
      <c r="I25" s="220">
        <v>165267</v>
      </c>
      <c r="J25" s="221">
        <v>163853</v>
      </c>
      <c r="K25" s="221">
        <v>174106</v>
      </c>
      <c r="L25" s="221">
        <v>156563</v>
      </c>
      <c r="M25" s="221">
        <v>95667.451204995727</v>
      </c>
      <c r="N25" s="221">
        <v>99096.08623617643</v>
      </c>
      <c r="O25" s="221">
        <v>99740.825593018904</v>
      </c>
      <c r="P25" s="221">
        <v>89819.78</v>
      </c>
      <c r="Q25" s="294">
        <v>133331.85</v>
      </c>
      <c r="R25" s="240">
        <f t="shared" si="0"/>
        <v>-0.32634660320548475</v>
      </c>
      <c r="S25" s="222">
        <v>86273.55</v>
      </c>
      <c r="T25" s="236">
        <f t="shared" si="1"/>
        <v>4.1104963282063596E-2</v>
      </c>
      <c r="U25" s="237">
        <f t="shared" si="2"/>
        <v>3546.2299999999959</v>
      </c>
      <c r="V25" s="223">
        <v>47058.3</v>
      </c>
      <c r="W25" s="237">
        <f t="shared" si="4"/>
        <v>42761.479999999996</v>
      </c>
      <c r="X25" s="224">
        <v>7843.05</v>
      </c>
      <c r="Y25" s="237">
        <f t="shared" si="3"/>
        <v>81976.73</v>
      </c>
    </row>
    <row r="26" spans="1:25" x14ac:dyDescent="0.25">
      <c r="A26" s="231" t="s">
        <v>343</v>
      </c>
      <c r="B26" s="219">
        <v>49781</v>
      </c>
      <c r="C26" s="225">
        <v>49781</v>
      </c>
      <c r="D26" s="220">
        <v>37267</v>
      </c>
      <c r="E26" s="220">
        <v>53721</v>
      </c>
      <c r="F26" s="220">
        <v>20695</v>
      </c>
      <c r="G26" s="220">
        <v>21652</v>
      </c>
      <c r="H26" s="220">
        <v>21739</v>
      </c>
      <c r="I26" s="220">
        <v>19863</v>
      </c>
      <c r="J26" s="221">
        <v>20390</v>
      </c>
      <c r="K26" s="221">
        <v>19691</v>
      </c>
      <c r="L26" s="221">
        <v>20476</v>
      </c>
      <c r="M26" s="221">
        <v>19268.465159206964</v>
      </c>
      <c r="N26" s="221">
        <v>19850.972778011095</v>
      </c>
      <c r="O26" s="221">
        <v>18217.22571980505</v>
      </c>
      <c r="P26" s="221">
        <v>18887.02</v>
      </c>
      <c r="Q26" s="294">
        <v>42313.85</v>
      </c>
      <c r="R26" s="240">
        <f t="shared" si="0"/>
        <v>-0.55365757683540573</v>
      </c>
      <c r="S26" s="222">
        <v>27379.55</v>
      </c>
      <c r="T26" s="236">
        <f t="shared" si="1"/>
        <v>-0.3101891809463978</v>
      </c>
      <c r="U26" s="237">
        <f t="shared" si="2"/>
        <v>-8492.5299999999988</v>
      </c>
      <c r="V26" s="223">
        <v>14934.3</v>
      </c>
      <c r="W26" s="237">
        <f t="shared" si="4"/>
        <v>3952.7200000000012</v>
      </c>
      <c r="X26" s="224">
        <v>2489.0500000000029</v>
      </c>
      <c r="Y26" s="237">
        <f t="shared" si="3"/>
        <v>16397.969999999998</v>
      </c>
    </row>
    <row r="27" spans="1:25" x14ac:dyDescent="0.25">
      <c r="A27" s="2" t="s">
        <v>119</v>
      </c>
      <c r="B27" s="219">
        <v>109873</v>
      </c>
      <c r="C27" s="220">
        <v>107047</v>
      </c>
      <c r="D27" s="220">
        <v>99594</v>
      </c>
      <c r="E27" s="220">
        <v>99087</v>
      </c>
      <c r="F27" s="220">
        <v>109060</v>
      </c>
      <c r="G27" s="220">
        <v>118839</v>
      </c>
      <c r="H27" s="220">
        <v>119116</v>
      </c>
      <c r="I27" s="220">
        <v>120015</v>
      </c>
      <c r="J27" s="221">
        <v>128633</v>
      </c>
      <c r="K27" s="221">
        <v>119578</v>
      </c>
      <c r="L27" s="221">
        <v>124934</v>
      </c>
      <c r="M27" s="221">
        <v>116330.77982629662</v>
      </c>
      <c r="N27" s="221">
        <v>120513.17186763212</v>
      </c>
      <c r="O27" s="221">
        <v>132452.51096044882</v>
      </c>
      <c r="P27" s="221">
        <v>132481.62</v>
      </c>
      <c r="Q27" s="294">
        <v>93392.05</v>
      </c>
      <c r="R27" s="240">
        <f t="shared" si="0"/>
        <v>0.41855798815839412</v>
      </c>
      <c r="S27" s="222">
        <v>60430.15</v>
      </c>
      <c r="T27" s="236">
        <f t="shared" si="1"/>
        <v>1.1923296951884976</v>
      </c>
      <c r="U27" s="237">
        <f t="shared" si="2"/>
        <v>72051.47</v>
      </c>
      <c r="V27" s="223">
        <v>32961.9</v>
      </c>
      <c r="W27" s="237">
        <f t="shared" si="4"/>
        <v>99519.72</v>
      </c>
      <c r="X27" s="224">
        <v>5493.65</v>
      </c>
      <c r="Y27" s="237">
        <f t="shared" si="3"/>
        <v>126987.97</v>
      </c>
    </row>
    <row r="28" spans="1:25" x14ac:dyDescent="0.25">
      <c r="A28" s="2" t="s">
        <v>120</v>
      </c>
      <c r="B28" s="219">
        <v>19539</v>
      </c>
      <c r="C28" s="220">
        <v>21476</v>
      </c>
      <c r="D28" s="220">
        <v>21085</v>
      </c>
      <c r="E28" s="220">
        <v>21465</v>
      </c>
      <c r="F28" s="220">
        <v>23142</v>
      </c>
      <c r="G28" s="220">
        <v>23355</v>
      </c>
      <c r="H28" s="220">
        <v>15301</v>
      </c>
      <c r="I28" s="220">
        <v>15513</v>
      </c>
      <c r="J28" s="226">
        <v>22821</v>
      </c>
      <c r="K28" s="221">
        <v>17328</v>
      </c>
      <c r="L28" s="221">
        <v>17114</v>
      </c>
      <c r="M28" s="221">
        <v>15149.812424610509</v>
      </c>
      <c r="N28" s="221">
        <v>11053.350589061631</v>
      </c>
      <c r="O28" s="221">
        <v>13721</v>
      </c>
      <c r="P28" s="221">
        <v>12906.61</v>
      </c>
      <c r="Q28" s="294">
        <v>16608.150000000001</v>
      </c>
      <c r="R28" s="240">
        <f t="shared" si="0"/>
        <v>-0.2228883342415767</v>
      </c>
      <c r="S28" s="222">
        <v>10746.45</v>
      </c>
      <c r="T28" s="236">
        <f t="shared" si="1"/>
        <v>0.20103020348147352</v>
      </c>
      <c r="U28" s="237">
        <f t="shared" si="2"/>
        <v>2160.16</v>
      </c>
      <c r="V28" s="223">
        <v>5861.7</v>
      </c>
      <c r="W28" s="237">
        <f t="shared" si="4"/>
        <v>7044.9100000000008</v>
      </c>
      <c r="X28" s="224">
        <v>976.95</v>
      </c>
      <c r="Y28" s="237">
        <f t="shared" si="3"/>
        <v>11929.66</v>
      </c>
    </row>
    <row r="29" spans="1:25" x14ac:dyDescent="0.25">
      <c r="B29" s="228"/>
      <c r="C29" s="228"/>
      <c r="D29" s="228"/>
      <c r="E29" s="228"/>
      <c r="F29" s="228"/>
      <c r="G29" s="228"/>
      <c r="H29" s="228"/>
      <c r="I29" s="228"/>
      <c r="J29" s="228"/>
      <c r="K29" s="228"/>
      <c r="L29" s="228"/>
      <c r="M29" s="228"/>
      <c r="N29" s="228"/>
      <c r="O29" s="228"/>
      <c r="P29" s="228"/>
      <c r="Q29"/>
      <c r="R29" s="221"/>
      <c r="T29" s="236"/>
    </row>
    <row r="30" spans="1:25" x14ac:dyDescent="0.25">
      <c r="D30"/>
    </row>
    <row r="31" spans="1:25" x14ac:dyDescent="0.25">
      <c r="D31"/>
      <c r="E31"/>
      <c r="F31"/>
      <c r="G31"/>
      <c r="H31"/>
      <c r="I31"/>
      <c r="J31"/>
      <c r="K31"/>
      <c r="L31"/>
      <c r="M31"/>
    </row>
    <row r="32" spans="1:25" x14ac:dyDescent="0.25">
      <c r="D32"/>
      <c r="E32"/>
      <c r="F32"/>
      <c r="G32"/>
      <c r="H32"/>
      <c r="I32"/>
      <c r="J32"/>
      <c r="K32"/>
      <c r="L32"/>
      <c r="M32"/>
    </row>
    <row r="33" spans="4:20" x14ac:dyDescent="0.25">
      <c r="D33"/>
      <c r="E33"/>
      <c r="F33"/>
      <c r="G33"/>
      <c r="H33"/>
      <c r="I33"/>
      <c r="J33"/>
      <c r="K33"/>
      <c r="L33"/>
      <c r="M33"/>
    </row>
    <row r="34" spans="4:20" customFormat="1" ht="15" x14ac:dyDescent="0.25">
      <c r="T34" s="73"/>
    </row>
    <row r="35" spans="4:20" customFormat="1" ht="15" x14ac:dyDescent="0.25">
      <c r="T35" s="73"/>
    </row>
    <row r="36" spans="4:20" customFormat="1" ht="15" x14ac:dyDescent="0.25">
      <c r="T36" s="73"/>
    </row>
    <row r="37" spans="4:20" customFormat="1" ht="15" x14ac:dyDescent="0.25">
      <c r="T37" s="73"/>
    </row>
    <row r="38" spans="4:20" customFormat="1" ht="15" x14ac:dyDescent="0.25">
      <c r="T38" s="73"/>
    </row>
    <row r="39" spans="4:20" customFormat="1" ht="15" x14ac:dyDescent="0.25">
      <c r="T39" s="73"/>
    </row>
    <row r="40" spans="4:20" customFormat="1" ht="15" x14ac:dyDescent="0.25">
      <c r="T40" s="73"/>
    </row>
    <row r="41" spans="4:20" customFormat="1" ht="15" x14ac:dyDescent="0.25">
      <c r="T41" s="73"/>
    </row>
    <row r="42" spans="4:20" customFormat="1" ht="15" x14ac:dyDescent="0.25">
      <c r="T42" s="73"/>
    </row>
    <row r="43" spans="4:20" customFormat="1" ht="15" x14ac:dyDescent="0.25">
      <c r="T43" s="73"/>
    </row>
    <row r="44" spans="4:20" customFormat="1" ht="15" x14ac:dyDescent="0.25">
      <c r="T44" s="73"/>
    </row>
    <row r="45" spans="4:20" customFormat="1" ht="15" x14ac:dyDescent="0.25">
      <c r="T45" s="73"/>
    </row>
    <row r="46" spans="4:20" customFormat="1" ht="15" x14ac:dyDescent="0.25">
      <c r="T46" s="73"/>
    </row>
    <row r="47" spans="4:20" customFormat="1" ht="15" x14ac:dyDescent="0.25">
      <c r="T47" s="73"/>
    </row>
    <row r="48" spans="4:20" customFormat="1" ht="15" x14ac:dyDescent="0.25">
      <c r="T48" s="73"/>
    </row>
    <row r="49" spans="4:20" customFormat="1" ht="15" x14ac:dyDescent="0.25">
      <c r="T49" s="73"/>
    </row>
    <row r="50" spans="4:20" customFormat="1" ht="15" x14ac:dyDescent="0.25">
      <c r="T50" s="73"/>
    </row>
    <row r="51" spans="4:20" customFormat="1" ht="15" x14ac:dyDescent="0.25">
      <c r="T51" s="73"/>
    </row>
    <row r="52" spans="4:20" customFormat="1" ht="16.899999999999999" customHeight="1" x14ac:dyDescent="0.25">
      <c r="T52" s="73"/>
    </row>
    <row r="53" spans="4:20" customFormat="1" ht="16.899999999999999" customHeight="1" x14ac:dyDescent="0.25">
      <c r="T53" s="73"/>
    </row>
    <row r="54" spans="4:20" customFormat="1" ht="16.899999999999999" customHeight="1" x14ac:dyDescent="0.25">
      <c r="T54" s="73"/>
    </row>
    <row r="55" spans="4:20" customFormat="1" ht="16.899999999999999" customHeight="1" x14ac:dyDescent="0.25">
      <c r="T55" s="73"/>
    </row>
    <row r="56" spans="4:20" customFormat="1" ht="15" x14ac:dyDescent="0.25">
      <c r="T56" s="73"/>
    </row>
    <row r="57" spans="4:20" customFormat="1" x14ac:dyDescent="0.25">
      <c r="D57" s="2"/>
      <c r="T57" s="73"/>
    </row>
    <row r="58" spans="4:20" customFormat="1" ht="15" x14ac:dyDescent="0.25">
      <c r="T58" s="73"/>
    </row>
    <row r="59" spans="4:20" customFormat="1" ht="15" x14ac:dyDescent="0.25">
      <c r="T59" s="73"/>
    </row>
    <row r="60" spans="4:20" customFormat="1" ht="15" x14ac:dyDescent="0.25">
      <c r="T60" s="73"/>
    </row>
    <row r="61" spans="4:20" customFormat="1" ht="15" x14ac:dyDescent="0.25">
      <c r="T61" s="73"/>
    </row>
    <row r="62" spans="4:20" customFormat="1" ht="15" x14ac:dyDescent="0.25">
      <c r="T62" s="73"/>
    </row>
    <row r="63" spans="4:20" customFormat="1" ht="15" x14ac:dyDescent="0.25">
      <c r="T63" s="73"/>
    </row>
    <row r="64" spans="4:20" customFormat="1" ht="15" x14ac:dyDescent="0.25">
      <c r="T64" s="73"/>
    </row>
    <row r="65" spans="20:20" customFormat="1" ht="15" x14ac:dyDescent="0.25">
      <c r="T65" s="73"/>
    </row>
    <row r="66" spans="20:20" customFormat="1" ht="15" x14ac:dyDescent="0.25">
      <c r="T66" s="73"/>
    </row>
    <row r="67" spans="20:20" customFormat="1" ht="15" x14ac:dyDescent="0.25">
      <c r="T67" s="73"/>
    </row>
    <row r="68" spans="20:20" customFormat="1" ht="15" x14ac:dyDescent="0.25">
      <c r="T68" s="73"/>
    </row>
    <row r="69" spans="20:20" customFormat="1" ht="15" x14ac:dyDescent="0.25">
      <c r="T69" s="73"/>
    </row>
    <row r="70" spans="20:20" customFormat="1" ht="15" x14ac:dyDescent="0.25">
      <c r="T70" s="73"/>
    </row>
    <row r="71" spans="20:20" customFormat="1" ht="15" x14ac:dyDescent="0.25">
      <c r="T71" s="73"/>
    </row>
    <row r="72" spans="20:20" customFormat="1" ht="15" x14ac:dyDescent="0.25">
      <c r="T72" s="73"/>
    </row>
    <row r="73" spans="20:20" customFormat="1" ht="15" x14ac:dyDescent="0.25">
      <c r="T73" s="73"/>
    </row>
    <row r="74" spans="20:20" customFormat="1" ht="15" x14ac:dyDescent="0.25">
      <c r="T74" s="73"/>
    </row>
    <row r="75" spans="20:20" customFormat="1" ht="15" x14ac:dyDescent="0.25">
      <c r="T75" s="73"/>
    </row>
    <row r="76" spans="20:20" customFormat="1" ht="15" x14ac:dyDescent="0.25">
      <c r="T76" s="73"/>
    </row>
    <row r="77" spans="20:20" customFormat="1" ht="15" x14ac:dyDescent="0.25">
      <c r="T77" s="73"/>
    </row>
    <row r="78" spans="20:20" customFormat="1" ht="15" x14ac:dyDescent="0.25">
      <c r="T78" s="73"/>
    </row>
    <row r="79" spans="20:20" customFormat="1" ht="15" x14ac:dyDescent="0.25">
      <c r="T79" s="73"/>
    </row>
    <row r="80" spans="20:20" customFormat="1" ht="15" x14ac:dyDescent="0.25">
      <c r="T80" s="73"/>
    </row>
    <row r="81" spans="20:20" customFormat="1" ht="15" x14ac:dyDescent="0.25">
      <c r="T81" s="73"/>
    </row>
    <row r="82" spans="20:20" customFormat="1" ht="15" x14ac:dyDescent="0.25">
      <c r="T82" s="73"/>
    </row>
    <row r="83" spans="20:20" customFormat="1" ht="15" x14ac:dyDescent="0.25">
      <c r="T83" s="73"/>
    </row>
    <row r="84" spans="20:20" customFormat="1" ht="15" x14ac:dyDescent="0.25">
      <c r="T84" s="73"/>
    </row>
    <row r="85" spans="20:20" customFormat="1" ht="15" x14ac:dyDescent="0.25">
      <c r="T85" s="73"/>
    </row>
    <row r="86" spans="20:20" customFormat="1" ht="15" x14ac:dyDescent="0.25">
      <c r="T86" s="73"/>
    </row>
    <row r="87" spans="20:20" customFormat="1" ht="15" x14ac:dyDescent="0.25">
      <c r="T87" s="73"/>
    </row>
    <row r="88" spans="20:20" customFormat="1" ht="15" x14ac:dyDescent="0.25">
      <c r="T88" s="73"/>
    </row>
    <row r="89" spans="20:20" customFormat="1" ht="15" x14ac:dyDescent="0.25">
      <c r="T89" s="73"/>
    </row>
    <row r="90" spans="20:20" customFormat="1" ht="15" x14ac:dyDescent="0.25">
      <c r="T90" s="73"/>
    </row>
    <row r="91" spans="20:20" customFormat="1" ht="15" x14ac:dyDescent="0.25">
      <c r="T91" s="73"/>
    </row>
    <row r="92" spans="20:20" customFormat="1" ht="15" x14ac:dyDescent="0.25">
      <c r="T92" s="73"/>
    </row>
    <row r="93" spans="20:20" customFormat="1" ht="15" x14ac:dyDescent="0.25">
      <c r="T93" s="73"/>
    </row>
    <row r="94" spans="20:20" customFormat="1" ht="15" x14ac:dyDescent="0.25">
      <c r="T94" s="73"/>
    </row>
    <row r="95" spans="20:20" customFormat="1" ht="15" x14ac:dyDescent="0.25">
      <c r="T95" s="73"/>
    </row>
    <row r="96" spans="20:20" customFormat="1" ht="15" x14ac:dyDescent="0.25">
      <c r="T96" s="73"/>
    </row>
    <row r="97" spans="4:20" customFormat="1" ht="15" x14ac:dyDescent="0.25">
      <c r="T97" s="73"/>
    </row>
    <row r="98" spans="4:20" customFormat="1" ht="15" x14ac:dyDescent="0.25">
      <c r="T98" s="73"/>
    </row>
    <row r="99" spans="4:20" customFormat="1" ht="15" x14ac:dyDescent="0.25">
      <c r="T99" s="73"/>
    </row>
    <row r="100" spans="4:20" customFormat="1" ht="15" x14ac:dyDescent="0.25">
      <c r="T100" s="73"/>
    </row>
    <row r="101" spans="4:20" customFormat="1" ht="15" x14ac:dyDescent="0.25">
      <c r="T101" s="73"/>
    </row>
    <row r="102" spans="4:20" x14ac:dyDescent="0.25">
      <c r="D102"/>
      <c r="E102"/>
      <c r="F102"/>
      <c r="G102"/>
      <c r="H102"/>
      <c r="I102"/>
      <c r="J102"/>
      <c r="K102"/>
      <c r="L102"/>
      <c r="M102"/>
    </row>
    <row r="103" spans="4:20" x14ac:dyDescent="0.25">
      <c r="D103"/>
      <c r="E103"/>
      <c r="F103"/>
      <c r="G103"/>
      <c r="H103"/>
      <c r="I103"/>
      <c r="J103"/>
      <c r="K103"/>
      <c r="L103"/>
      <c r="M103"/>
    </row>
    <row r="104" spans="4:20" x14ac:dyDescent="0.25">
      <c r="D104"/>
      <c r="E104"/>
      <c r="F104"/>
      <c r="G104"/>
      <c r="H104"/>
      <c r="I104"/>
      <c r="J104"/>
      <c r="K104"/>
      <c r="L104"/>
      <c r="M104"/>
    </row>
    <row r="105" spans="4:20" x14ac:dyDescent="0.25">
      <c r="D105"/>
      <c r="E105"/>
      <c r="F105"/>
      <c r="G105"/>
      <c r="H105"/>
      <c r="I105"/>
      <c r="J105"/>
      <c r="K105"/>
      <c r="L105"/>
      <c r="M105"/>
    </row>
    <row r="106" spans="4:20" x14ac:dyDescent="0.25">
      <c r="D106"/>
      <c r="E106"/>
      <c r="F106"/>
      <c r="G106"/>
      <c r="H106"/>
      <c r="I106"/>
      <c r="J106"/>
      <c r="K106"/>
      <c r="L106"/>
      <c r="M106"/>
    </row>
    <row r="107" spans="4:20" x14ac:dyDescent="0.25">
      <c r="D107"/>
      <c r="E107"/>
      <c r="F107"/>
      <c r="G107"/>
      <c r="H107"/>
      <c r="I107"/>
      <c r="J107"/>
      <c r="K107"/>
      <c r="L107"/>
      <c r="M107"/>
    </row>
    <row r="108" spans="4:20" x14ac:dyDescent="0.25">
      <c r="D108"/>
      <c r="E108"/>
      <c r="F108"/>
      <c r="G108"/>
      <c r="H108"/>
      <c r="I108"/>
      <c r="J108"/>
      <c r="K108"/>
      <c r="L108"/>
      <c r="M108"/>
    </row>
    <row r="109" spans="4:20" x14ac:dyDescent="0.25">
      <c r="D109"/>
      <c r="E109"/>
      <c r="F109"/>
      <c r="G109"/>
      <c r="H109"/>
      <c r="I109"/>
      <c r="J109"/>
      <c r="K109"/>
      <c r="L109"/>
      <c r="M109"/>
    </row>
    <row r="110" spans="4:20" x14ac:dyDescent="0.25">
      <c r="D110"/>
      <c r="E110"/>
      <c r="F110"/>
      <c r="G110"/>
      <c r="H110"/>
      <c r="I110"/>
      <c r="J110"/>
      <c r="K110"/>
      <c r="L110"/>
      <c r="M110"/>
    </row>
    <row r="111" spans="4:20" x14ac:dyDescent="0.25">
      <c r="D111"/>
      <c r="E111"/>
      <c r="F111"/>
      <c r="G111"/>
      <c r="H111"/>
      <c r="I111"/>
      <c r="J111"/>
      <c r="K111"/>
      <c r="L111"/>
      <c r="M111"/>
    </row>
    <row r="112" spans="4:20" x14ac:dyDescent="0.25">
      <c r="D112"/>
      <c r="E112"/>
      <c r="F112"/>
      <c r="G112"/>
      <c r="H112"/>
      <c r="I112"/>
      <c r="J112"/>
      <c r="K112"/>
      <c r="L112"/>
      <c r="M112"/>
    </row>
    <row r="113" spans="4:13" x14ac:dyDescent="0.25">
      <c r="D113"/>
      <c r="E113"/>
      <c r="F113"/>
      <c r="G113"/>
      <c r="H113"/>
      <c r="I113"/>
      <c r="J113"/>
      <c r="K113"/>
      <c r="L113"/>
      <c r="M113"/>
    </row>
    <row r="114" spans="4:13" x14ac:dyDescent="0.25">
      <c r="D114"/>
      <c r="E114"/>
      <c r="F114"/>
      <c r="G114"/>
      <c r="H114"/>
      <c r="I114"/>
      <c r="J114"/>
      <c r="K114"/>
      <c r="L114"/>
      <c r="M114"/>
    </row>
    <row r="115" spans="4:13" x14ac:dyDescent="0.25">
      <c r="D115"/>
      <c r="E115"/>
      <c r="F115"/>
      <c r="G115"/>
      <c r="H115"/>
      <c r="I115"/>
      <c r="J115"/>
      <c r="K115"/>
      <c r="L115"/>
      <c r="M115"/>
    </row>
    <row r="116" spans="4:13" x14ac:dyDescent="0.25">
      <c r="D116"/>
      <c r="E116"/>
      <c r="F116"/>
      <c r="G116"/>
      <c r="H116"/>
      <c r="I116"/>
      <c r="J116"/>
      <c r="K116"/>
      <c r="L116"/>
      <c r="M116"/>
    </row>
    <row r="117" spans="4:13" x14ac:dyDescent="0.25">
      <c r="D117"/>
      <c r="E117"/>
      <c r="F117"/>
      <c r="G117"/>
      <c r="H117"/>
      <c r="I117"/>
      <c r="J117"/>
      <c r="K117"/>
      <c r="L117"/>
      <c r="M117"/>
    </row>
    <row r="118" spans="4:13" x14ac:dyDescent="0.25">
      <c r="D118"/>
      <c r="E118"/>
      <c r="F118"/>
      <c r="G118"/>
      <c r="H118"/>
      <c r="I118"/>
      <c r="J118"/>
      <c r="K118"/>
      <c r="L118"/>
      <c r="M118"/>
    </row>
    <row r="119" spans="4:13" x14ac:dyDescent="0.25">
      <c r="D119"/>
      <c r="E119"/>
      <c r="F119"/>
      <c r="G119"/>
      <c r="H119"/>
      <c r="I119"/>
      <c r="J119"/>
      <c r="K119"/>
      <c r="L119"/>
      <c r="M119"/>
    </row>
    <row r="120" spans="4:13" x14ac:dyDescent="0.25">
      <c r="D120"/>
      <c r="E120"/>
      <c r="F120"/>
      <c r="G120"/>
      <c r="H120"/>
      <c r="I120"/>
      <c r="J120"/>
      <c r="K120"/>
      <c r="L120"/>
      <c r="M120"/>
    </row>
    <row r="121" spans="4:13" x14ac:dyDescent="0.25">
      <c r="D121"/>
      <c r="E121"/>
      <c r="F121"/>
      <c r="G121"/>
      <c r="H121"/>
      <c r="I121"/>
      <c r="J121"/>
      <c r="K121"/>
      <c r="L121"/>
      <c r="M121"/>
    </row>
    <row r="122" spans="4:13" x14ac:dyDescent="0.25">
      <c r="D122"/>
      <c r="E122"/>
      <c r="F122"/>
      <c r="G122"/>
      <c r="H122"/>
      <c r="I122"/>
      <c r="J122"/>
      <c r="K122"/>
      <c r="L122"/>
      <c r="M122"/>
    </row>
    <row r="123" spans="4:13" x14ac:dyDescent="0.25">
      <c r="D123"/>
      <c r="E123"/>
      <c r="F123"/>
      <c r="G123"/>
      <c r="H123"/>
      <c r="I123"/>
      <c r="J123"/>
      <c r="K123"/>
      <c r="L123"/>
      <c r="M123"/>
    </row>
    <row r="124" spans="4:13" x14ac:dyDescent="0.25">
      <c r="D124"/>
      <c r="E124"/>
      <c r="F124"/>
      <c r="G124"/>
      <c r="H124"/>
      <c r="I124"/>
      <c r="J124"/>
      <c r="K124"/>
      <c r="L124"/>
      <c r="M124"/>
    </row>
    <row r="125" spans="4:13" x14ac:dyDescent="0.25">
      <c r="D125"/>
      <c r="E125"/>
      <c r="F125"/>
      <c r="G125"/>
      <c r="H125"/>
      <c r="I125"/>
      <c r="J125"/>
      <c r="K125"/>
      <c r="L125"/>
      <c r="M125"/>
    </row>
    <row r="126" spans="4:13" x14ac:dyDescent="0.25">
      <c r="D126"/>
      <c r="E126"/>
      <c r="F126"/>
      <c r="G126"/>
      <c r="H126"/>
      <c r="I126"/>
      <c r="J126"/>
      <c r="K126"/>
      <c r="L126"/>
      <c r="M126"/>
    </row>
    <row r="127" spans="4:13" x14ac:dyDescent="0.25">
      <c r="D127"/>
      <c r="E127"/>
      <c r="F127"/>
      <c r="G127"/>
      <c r="H127"/>
      <c r="I127"/>
      <c r="J127"/>
      <c r="K127"/>
      <c r="L127"/>
      <c r="M127"/>
    </row>
    <row r="128" spans="4:13" x14ac:dyDescent="0.25">
      <c r="D128"/>
      <c r="E128"/>
      <c r="F128"/>
      <c r="G128"/>
      <c r="H128"/>
      <c r="I128"/>
      <c r="J128"/>
      <c r="K128"/>
      <c r="L128"/>
      <c r="M128"/>
    </row>
    <row r="129" spans="4:13" x14ac:dyDescent="0.25">
      <c r="D129"/>
      <c r="E129"/>
      <c r="F129"/>
      <c r="G129"/>
      <c r="H129"/>
      <c r="I129"/>
      <c r="J129"/>
      <c r="K129"/>
      <c r="L129"/>
      <c r="M129"/>
    </row>
    <row r="130" spans="4:13" x14ac:dyDescent="0.25">
      <c r="D130"/>
      <c r="E130"/>
      <c r="F130"/>
      <c r="G130"/>
      <c r="H130"/>
      <c r="I130"/>
      <c r="J130"/>
      <c r="K130"/>
      <c r="L130"/>
      <c r="M130"/>
    </row>
    <row r="131" spans="4:13" x14ac:dyDescent="0.25">
      <c r="D131"/>
      <c r="E131"/>
      <c r="F131"/>
      <c r="G131"/>
      <c r="H131"/>
      <c r="I131"/>
      <c r="J131"/>
      <c r="K131"/>
      <c r="L131"/>
      <c r="M131"/>
    </row>
    <row r="132" spans="4:13" x14ac:dyDescent="0.25">
      <c r="D132"/>
      <c r="E132"/>
      <c r="F132"/>
      <c r="G132"/>
      <c r="H132"/>
      <c r="I132"/>
      <c r="J132"/>
      <c r="K132"/>
      <c r="L132"/>
      <c r="M132"/>
    </row>
    <row r="133" spans="4:13" x14ac:dyDescent="0.25">
      <c r="D133"/>
      <c r="E133"/>
      <c r="F133"/>
      <c r="G133"/>
      <c r="H133"/>
      <c r="I133"/>
      <c r="J133"/>
      <c r="K133"/>
      <c r="L133"/>
      <c r="M133"/>
    </row>
    <row r="134" spans="4:13" x14ac:dyDescent="0.25">
      <c r="D134"/>
      <c r="E134"/>
      <c r="F134"/>
      <c r="G134"/>
      <c r="H134"/>
      <c r="I134"/>
      <c r="J134"/>
      <c r="K134"/>
      <c r="L134"/>
      <c r="M134"/>
    </row>
    <row r="135" spans="4:13" x14ac:dyDescent="0.25">
      <c r="D135"/>
      <c r="E135"/>
      <c r="F135"/>
      <c r="G135"/>
      <c r="H135"/>
      <c r="I135"/>
      <c r="J135"/>
      <c r="K135"/>
      <c r="L135"/>
      <c r="M135"/>
    </row>
    <row r="136" spans="4:13" x14ac:dyDescent="0.25">
      <c r="D136"/>
      <c r="E136"/>
      <c r="F136"/>
      <c r="G136"/>
      <c r="H136"/>
      <c r="I136"/>
      <c r="J136"/>
      <c r="K136"/>
      <c r="L136"/>
      <c r="M136"/>
    </row>
    <row r="137" spans="4:13" x14ac:dyDescent="0.25">
      <c r="D137"/>
      <c r="E137"/>
      <c r="F137"/>
      <c r="G137"/>
      <c r="H137"/>
      <c r="I137"/>
      <c r="J137"/>
      <c r="K137"/>
      <c r="L137"/>
      <c r="M137"/>
    </row>
    <row r="138" spans="4:13" x14ac:dyDescent="0.25">
      <c r="D138"/>
      <c r="E138"/>
      <c r="F138"/>
      <c r="G138"/>
      <c r="H138"/>
      <c r="I138"/>
      <c r="J138"/>
      <c r="K138"/>
      <c r="L138"/>
      <c r="M138"/>
    </row>
    <row r="139" spans="4:13" x14ac:dyDescent="0.25">
      <c r="D139"/>
      <c r="E139"/>
      <c r="F139"/>
      <c r="G139"/>
      <c r="H139"/>
      <c r="I139"/>
      <c r="J139"/>
      <c r="K139"/>
      <c r="L139"/>
      <c r="M139"/>
    </row>
    <row r="140" spans="4:13" x14ac:dyDescent="0.25">
      <c r="D140"/>
      <c r="E140"/>
      <c r="F140"/>
      <c r="G140"/>
      <c r="H140"/>
      <c r="I140"/>
      <c r="J140"/>
      <c r="K140"/>
      <c r="L140"/>
      <c r="M140"/>
    </row>
    <row r="141" spans="4:13" x14ac:dyDescent="0.25">
      <c r="D141"/>
      <c r="E141"/>
      <c r="F141"/>
      <c r="G141"/>
      <c r="H141"/>
      <c r="I141"/>
      <c r="J141"/>
      <c r="K141"/>
      <c r="L141"/>
      <c r="M141"/>
    </row>
    <row r="142" spans="4:13" x14ac:dyDescent="0.25">
      <c r="D142"/>
      <c r="E142"/>
      <c r="F142"/>
      <c r="G142"/>
      <c r="H142"/>
      <c r="I142"/>
      <c r="J142"/>
      <c r="K142"/>
      <c r="L142"/>
      <c r="M142"/>
    </row>
    <row r="143" spans="4:13" x14ac:dyDescent="0.25">
      <c r="D143"/>
      <c r="E143"/>
      <c r="F143"/>
      <c r="G143"/>
      <c r="H143"/>
      <c r="I143"/>
      <c r="J143"/>
      <c r="K143"/>
      <c r="L143"/>
      <c r="M143"/>
    </row>
    <row r="144" spans="4:13" x14ac:dyDescent="0.25">
      <c r="D144"/>
      <c r="E144"/>
      <c r="F144"/>
      <c r="G144"/>
      <c r="H144"/>
      <c r="I144"/>
      <c r="J144"/>
      <c r="K144"/>
      <c r="L144"/>
      <c r="M144"/>
    </row>
    <row r="145" spans="4:13" x14ac:dyDescent="0.25">
      <c r="D145"/>
      <c r="E145"/>
      <c r="F145"/>
      <c r="G145"/>
      <c r="H145"/>
      <c r="I145"/>
      <c r="J145"/>
      <c r="K145"/>
      <c r="L145"/>
      <c r="M145"/>
    </row>
    <row r="146" spans="4:13" x14ac:dyDescent="0.25">
      <c r="D146"/>
      <c r="E146"/>
      <c r="F146"/>
      <c r="G146"/>
      <c r="H146"/>
      <c r="I146"/>
      <c r="J146"/>
      <c r="K146"/>
      <c r="L146"/>
      <c r="M146"/>
    </row>
    <row r="147" spans="4:13" x14ac:dyDescent="0.25">
      <c r="D147"/>
      <c r="E147"/>
      <c r="F147"/>
      <c r="G147"/>
      <c r="H147"/>
      <c r="I147"/>
      <c r="J147"/>
      <c r="K147"/>
      <c r="L147"/>
      <c r="M147"/>
    </row>
    <row r="148" spans="4:13" x14ac:dyDescent="0.25">
      <c r="D148"/>
      <c r="E148"/>
      <c r="F148"/>
      <c r="G148"/>
      <c r="H148"/>
      <c r="I148"/>
      <c r="J148"/>
      <c r="K148"/>
      <c r="L148"/>
      <c r="M148"/>
    </row>
    <row r="149" spans="4:13" x14ac:dyDescent="0.25">
      <c r="D149"/>
      <c r="E149"/>
      <c r="F149"/>
      <c r="G149"/>
      <c r="H149"/>
      <c r="I149"/>
      <c r="J149"/>
      <c r="K149"/>
      <c r="L149"/>
      <c r="M149"/>
    </row>
    <row r="150" spans="4:13" x14ac:dyDescent="0.25">
      <c r="D150"/>
      <c r="E150"/>
      <c r="F150"/>
      <c r="G150"/>
      <c r="H150"/>
      <c r="I150"/>
      <c r="J150"/>
      <c r="K150"/>
      <c r="L150"/>
      <c r="M150"/>
    </row>
    <row r="151" spans="4:13" x14ac:dyDescent="0.25">
      <c r="D151"/>
      <c r="E151"/>
      <c r="F151"/>
      <c r="G151"/>
      <c r="H151"/>
      <c r="I151"/>
      <c r="J151"/>
      <c r="K151"/>
      <c r="L151"/>
      <c r="M151"/>
    </row>
    <row r="152" spans="4:13" x14ac:dyDescent="0.25">
      <c r="D152"/>
      <c r="E152"/>
      <c r="F152"/>
      <c r="G152"/>
      <c r="H152"/>
      <c r="I152"/>
      <c r="J152"/>
      <c r="K152"/>
      <c r="L152"/>
      <c r="M152"/>
    </row>
    <row r="153" spans="4:13" x14ac:dyDescent="0.25">
      <c r="D153"/>
      <c r="E153"/>
      <c r="F153"/>
      <c r="G153"/>
      <c r="H153"/>
      <c r="I153"/>
      <c r="J153"/>
      <c r="K153"/>
      <c r="L153"/>
      <c r="M153"/>
    </row>
    <row r="154" spans="4:13" x14ac:dyDescent="0.25">
      <c r="D154"/>
      <c r="E154"/>
      <c r="F154"/>
      <c r="G154"/>
      <c r="H154"/>
      <c r="I154"/>
      <c r="J154"/>
      <c r="K154"/>
      <c r="L154"/>
      <c r="M154"/>
    </row>
    <row r="155" spans="4:13" x14ac:dyDescent="0.25">
      <c r="D155"/>
      <c r="E155"/>
      <c r="F155"/>
      <c r="G155"/>
      <c r="H155"/>
      <c r="I155"/>
      <c r="J155"/>
      <c r="K155"/>
      <c r="L155"/>
      <c r="M155"/>
    </row>
    <row r="156" spans="4:13" x14ac:dyDescent="0.25">
      <c r="D156"/>
      <c r="E156"/>
      <c r="F156"/>
      <c r="G156"/>
      <c r="H156"/>
      <c r="I156"/>
      <c r="J156"/>
      <c r="K156"/>
      <c r="L156"/>
      <c r="M156"/>
    </row>
    <row r="157" spans="4:13" x14ac:dyDescent="0.25">
      <c r="D157"/>
      <c r="E157"/>
      <c r="F157"/>
      <c r="G157"/>
      <c r="H157"/>
      <c r="I157"/>
      <c r="J157"/>
      <c r="K157"/>
      <c r="L157"/>
      <c r="M157"/>
    </row>
  </sheetData>
  <sheetProtection algorithmName="SHA-512" hashValue="z06mlD2XxVGEdP6ONHn6VT4rU9dnfHpwFC+WjKODexbrzhIENhhBnoUv0/jnra7JQfaBCH1thATuLpZCrmTTew==" saltValue="/h8M9a6xZidFEqs02C4iJQ==" spinCount="100000" sheet="1" objects="1" scenarios="1"/>
  <sortState xmlns:xlrd2="http://schemas.microsoft.com/office/spreadsheetml/2017/richdata2" ref="A3:Y28">
    <sortCondition ref="A3:A28"/>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E0EE62A059FF4FB711649F352B8A6E" ma:contentTypeVersion="15" ma:contentTypeDescription="Create a new document." ma:contentTypeScope="" ma:versionID="0c9b90a637458c934f5f566aa14c34d6">
  <xsd:schema xmlns:xsd="http://www.w3.org/2001/XMLSchema" xmlns:xs="http://www.w3.org/2001/XMLSchema" xmlns:p="http://schemas.microsoft.com/office/2006/metadata/properties" xmlns:ns1="http://schemas.microsoft.com/sharepoint/v3" xmlns:ns2="0de21ba4-e13e-453a-a87f-13ec1b0eee75" xmlns:ns3="c9cdc500-961b-4901-bda6-f64cb56e7081" targetNamespace="http://schemas.microsoft.com/office/2006/metadata/properties" ma:root="true" ma:fieldsID="3fe62856dac3fbb59760cb10140caf6c" ns1:_="" ns2:_="" ns3:_="">
    <xsd:import namespace="http://schemas.microsoft.com/sharepoint/v3"/>
    <xsd:import namespace="0de21ba4-e13e-453a-a87f-13ec1b0eee75"/>
    <xsd:import namespace="c9cdc500-961b-4901-bda6-f64cb56e70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e21ba4-e13e-453a-a87f-13ec1b0eee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cdc500-961b-4901-bda6-f64cb56e708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990f5-548c-4bc5-bd4f-cdccec720218}" ma:internalName="TaxCatchAll" ma:showField="CatchAllData" ma:web="c9cdc500-961b-4901-bda6-f64cb56e708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9cdc500-961b-4901-bda6-f64cb56e7081" xsi:nil="true"/>
    <lcf76f155ced4ddcb4097134ff3c332f xmlns="0de21ba4-e13e-453a-a87f-13ec1b0eee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C03758-7813-459B-B8B0-F3703092A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e21ba4-e13e-453a-a87f-13ec1b0eee75"/>
    <ds:schemaRef ds:uri="c9cdc500-961b-4901-bda6-f64cb56e70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DFC31D-ADEB-4525-9C0C-905881EF8E67}">
  <ds:schemaRefs>
    <ds:schemaRef ds:uri="http://schemas.microsoft.com/sharepoint/v3/contenttype/forms"/>
  </ds:schemaRefs>
</ds:datastoreItem>
</file>

<file path=customXml/itemProps3.xml><?xml version="1.0" encoding="utf-8"?>
<ds:datastoreItem xmlns:ds="http://schemas.openxmlformats.org/officeDocument/2006/customXml" ds:itemID="{A86EFBCD-7C9B-4D9A-A921-3083D3D81DE3}">
  <ds:schemaRefs>
    <ds:schemaRef ds:uri="http://schemas.microsoft.com/office/2006/metadata/properties"/>
    <ds:schemaRef ds:uri="http://schemas.microsoft.com/office/infopath/2007/PartnerControls"/>
    <ds:schemaRef ds:uri="http://schemas.microsoft.com/sharepoint/v3"/>
    <ds:schemaRef ds:uri="c9cdc500-961b-4901-bda6-f64cb56e7081"/>
    <ds:schemaRef ds:uri="0de21ba4-e13e-453a-a87f-13ec1b0eee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43</vt:i4>
      </vt:variant>
    </vt:vector>
  </HeadingPairs>
  <TitlesOfParts>
    <vt:vector size="49" baseType="lpstr">
      <vt:lpstr>Instructions</vt:lpstr>
      <vt:lpstr>Report</vt:lpstr>
      <vt:lpstr>Agency Fuel Use</vt:lpstr>
      <vt:lpstr>Reference</vt:lpstr>
      <vt:lpstr>Emission Reduction Estimates</vt:lpstr>
      <vt:lpstr>Historic Data and Limits</vt:lpstr>
      <vt:lpstr>A__WA_State_Avg_Retail_Electricity__kWh</vt:lpstr>
      <vt:lpstr>AvGas_used</vt:lpstr>
      <vt:lpstr>B100_CH4_MT_gal</vt:lpstr>
      <vt:lpstr>B100_CO2_MT_gal</vt:lpstr>
      <vt:lpstr>B100_N2O_MT_gal</vt:lpstr>
      <vt:lpstr>BlgDiesel__gals_used</vt:lpstr>
      <vt:lpstr>BlgFuelOil__gals_used</vt:lpstr>
      <vt:lpstr>BlgGasoline__gals_used</vt:lpstr>
      <vt:lpstr>BlgNG__therms_used</vt:lpstr>
      <vt:lpstr>BlgPropane__gals_used</vt:lpstr>
      <vt:lpstr>Diesel_MTCH4_gal</vt:lpstr>
      <vt:lpstr>Diesel_MTCO2_gal</vt:lpstr>
      <vt:lpstr>Diesel_MTN2O_gal</vt:lpstr>
      <vt:lpstr>Electricity_generated___i.e._solar_photovoltaic__wind_or_other…___kWh</vt:lpstr>
      <vt:lpstr>Fleet_Diesel_Ferries_used</vt:lpstr>
      <vt:lpstr>FleetAvGas_use</vt:lpstr>
      <vt:lpstr>FuelOil_MTCH4_gal</vt:lpstr>
      <vt:lpstr>FuelOil_MTCO2_gal</vt:lpstr>
      <vt:lpstr>FuelOil_MTN2O_gal</vt:lpstr>
      <vt:lpstr>Gasoline_MTCO2_gal</vt:lpstr>
      <vt:lpstr>Gasoline_MTN2O_gal</vt:lpstr>
      <vt:lpstr>Gasonline_MTCH4_gal</vt:lpstr>
      <vt:lpstr>GWP_CH4</vt:lpstr>
      <vt:lpstr>GWP_N2O</vt:lpstr>
      <vt:lpstr>kBTUperkWh</vt:lpstr>
      <vt:lpstr>MMBtu_per_klb</vt:lpstr>
      <vt:lpstr>MVDieselBulk_gals_used</vt:lpstr>
      <vt:lpstr>MVDieselRetail_gals_used</vt:lpstr>
      <vt:lpstr>MVDieselWSDOT_gals_used</vt:lpstr>
      <vt:lpstr>MVGasoline_gas_used</vt:lpstr>
      <vt:lpstr>MVPropane_gals_used</vt:lpstr>
      <vt:lpstr>NG_MTCH4_therm</vt:lpstr>
      <vt:lpstr>NG_MTCO2_therm</vt:lpstr>
      <vt:lpstr>NG_MTN2O_therms</vt:lpstr>
      <vt:lpstr>Propane_MTCH4_gal</vt:lpstr>
      <vt:lpstr>Propane_MTCO2_gal</vt:lpstr>
      <vt:lpstr>Propane_MTN2O_gal</vt:lpstr>
      <vt:lpstr>Purchased_electricity___WA_Avg_CO2EF</vt:lpstr>
      <vt:lpstr>Purchased_electricity_from_green_contract__kWh</vt:lpstr>
      <vt:lpstr>Purchased_Steam__klbs</vt:lpstr>
      <vt:lpstr>Renewable_thermal_heating_cooling</vt:lpstr>
      <vt:lpstr>Total_conditioned_space__sq._ft.</vt:lpstr>
      <vt:lpstr>WA_Elect_MT_CO2_kWh</vt:lpstr>
    </vt:vector>
  </TitlesOfParts>
  <Company>WA Department of Ecology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Waterman-Hoey, Stacey (ECY)</dc:creator>
  <cp:lastModifiedBy>Patschke, Lynsie (ECY)</cp:lastModifiedBy>
  <cp:lastPrinted>2021-12-09T22:43:27Z</cp:lastPrinted>
  <dcterms:created xsi:type="dcterms:W3CDTF">2021-09-07T15:51:58Z</dcterms:created>
  <dcterms:modified xsi:type="dcterms:W3CDTF">2025-03-20T15:21:23Z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0x010100B2E0EE62A059FF4FB711649F352B8A6E</vt:lpwstr>
  </property>
  <property fmtid="{D5CDD505-2E9C-101B-9397-08002B2CF9AE}" pid="3" name="Order">
    <vt:r8>42300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