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12_0.bin" ContentType="application/vnd.openxmlformats-officedocument.oleObject"/>
  <Override PartName="/xl/embeddings/oleObject_1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164" yWindow="252" windowWidth="12264" windowHeight="8232" tabRatio="847" firstSheet="1" activeTab="1"/>
  </bookViews>
  <sheets>
    <sheet name="dialog1_12" sheetId="1" r:id="rId1"/>
    <sheet name="Title_NA" sheetId="2" r:id="rId2"/>
    <sheet name="TierI_answer" sheetId="3" r:id="rId3"/>
    <sheet name="Calc_Flow" sheetId="4" r:id="rId4"/>
    <sheet name="Remediation_Work_flow" sheetId="5" r:id="rId5"/>
    <sheet name="Kendall_K_Statistics" sheetId="6" r:id="rId6"/>
    <sheet name="Mann_Kendall" sheetId="7" r:id="rId7"/>
    <sheet name="Mann_Whitney_U" sheetId="8" r:id="rId8"/>
    <sheet name="Historical_data_entry_1" sheetId="9" r:id="rId9"/>
    <sheet name="Graphical_prest" sheetId="10" r:id="rId10"/>
    <sheet name="Temporal_Analysis" sheetId="11" r:id="rId11"/>
    <sheet name="AtteuationRate_calc" sheetId="12" r:id="rId12"/>
    <sheet name="Help_Non_ParaStat" sheetId="13" r:id="rId13"/>
    <sheet name="Chemical List" sheetId="14" r:id="rId14"/>
    <sheet name="AC_calGeoChemicalIndic" sheetId="15" r:id="rId15"/>
  </sheets>
  <externalReferences>
    <externalReference r:id="rId18"/>
    <externalReference r:id="rId19"/>
    <externalReference r:id="rId20"/>
  </externalReferences>
  <definedNames>
    <definedName name="_Toc53998723" localSheetId="2">'TierI_answer'!$M$7</definedName>
    <definedName name="AB" localSheetId="0">'[2]InputOutput'!#REF!</definedName>
    <definedName name="chemlist" localSheetId="13">'Chemical List'!$B$8:$N$34</definedName>
    <definedName name="chemlist">'Chemical List'!$B$8:$N$34</definedName>
    <definedName name="cheName">'Chemical List'!$B$8:$B$34</definedName>
    <definedName name="data1">'Mann_Kendall'!$D$14:$D$30</definedName>
    <definedName name="date_data">'Historical_data_entry_1'!$F$18:$F$38</definedName>
    <definedName name="De" localSheetId="0">'[3]SOILMOD'!#REF!</definedName>
    <definedName name="Depth" localSheetId="0">'[3]SOILMOD'!#REF!</definedName>
    <definedName name="dh2o" localSheetId="0">#REF!</definedName>
    <definedName name="dHc" localSheetId="0">'[2]InputOutput'!#REF!</definedName>
    <definedName name="DP" localSheetId="0">'[2]InputOutput'!#REF!</definedName>
    <definedName name="DUR" localSheetId="0">'[2]DC_InputOutput'!#REF!</definedName>
    <definedName name="eta" localSheetId="0">'[2]InputOutput'!#REF!</definedName>
    <definedName name="fit_answer">'TierI_answer'!$A$2:$J$2</definedName>
    <definedName name="fit_AssiCap">'AC_calGeoChemicalIndic'!$A$1:$T$1</definedName>
    <definedName name="fit_calc">'Calc_Flow'!$A$2:$O$2</definedName>
    <definedName name="fit_chemData">'Chemical List'!$A$1:$N$1</definedName>
    <definedName name="fit_entry">'Historical_data_entry_1'!$A$1:$S$1</definedName>
    <definedName name="fit_graph">'Graphical_prest'!$A$1:$O$1</definedName>
    <definedName name="fit_help_kendall">'Help_Non_ParaStat'!$A$1:$K$1</definedName>
    <definedName name="fit_K_table">'Kendall_K_Statistics'!$A$1:$Q$1</definedName>
    <definedName name="fit_Kendall">'Mann_Kendall'!$A$1:$J$1</definedName>
    <definedName name="fit_remed">'Remediation_Work_flow'!$A$2:$N$2</definedName>
    <definedName name="fit_require">'TierI_answer'!$A$17:$I$17</definedName>
    <definedName name="fit_temp_anal">'Temporal_Analysis'!$B$1:$R$2</definedName>
    <definedName name="fit_title" localSheetId="1">'Title_NA'!$A$1:$I$1</definedName>
    <definedName name="fit_whitney">'Mann_Whitney_U'!$A$1:$K$1</definedName>
    <definedName name="FOE" localSheetId="0">'[2]DC_InputOutput'!#REF!</definedName>
    <definedName name="GEO_Contam">'AC_calGeoChemicalIndic'!$C$13:$C$19</definedName>
    <definedName name="geo_contam_data">'AC_calGeoChemicalIndic'!$C$13:$S$19</definedName>
    <definedName name="geo_indic_data">'AC_calGeoChemicalIndic'!$C$23:$S$31</definedName>
    <definedName name="GEo_indicat">'AC_calGeoChemicalIndic'!$C$23:$C$31</definedName>
    <definedName name="H" localSheetId="0">#REF!</definedName>
    <definedName name="HB" localSheetId="0">'[2]InputOutput'!#REF!</definedName>
    <definedName name="hcap" localSheetId="0">'[2]InputOutput'!#REF!</definedName>
    <definedName name="He" localSheetId="0">'[3]SOILMOD'!#REF!</definedName>
    <definedName name="K_CL">'Mann_Kendall'!$E$11</definedName>
    <definedName name="K_table">'Kendall_K_Statistics'!$B$7:$P$108</definedName>
    <definedName name="kv" localSheetId="0">'[2]InputOutput'!#REF!</definedName>
    <definedName name="Lcrack" localSheetId="0">'[2]InputOutput'!#REF!</definedName>
    <definedName name="Lgw" localSheetId="0">'[2]InputOutput'!#REF!</definedName>
    <definedName name="LT" localSheetId="0">'[2]InputOutput'!#REF!</definedName>
    <definedName name="LTO" localSheetId="0">'[2]InputOutput'!#REF!</definedName>
    <definedName name="Mann_Chemical">'Mann_Kendall'!$D$14:$I$14</definedName>
    <definedName name="Mann_data">'Mann_Kendall'!$D$14:$I$30</definedName>
    <definedName name="Mo" localSheetId="0">'[3]SOILMOD'!#REF!</definedName>
    <definedName name="mw1" localSheetId="14">'AC_calGeoChemicalIndic'!#REF!</definedName>
    <definedName name="Oa" localSheetId="0">'[3]SOILMOD'!#REF!</definedName>
    <definedName name="OLE_LINK10" localSheetId="2">'TierI_answer'!$M$9</definedName>
    <definedName name="Ow" localSheetId="0">'[3]SOILMOD'!#REF!</definedName>
    <definedName name="park" localSheetId="0">'[1]SOILMOD'!#REF!</definedName>
    <definedName name="_xlnm.Print_Area" localSheetId="14">'AC_calGeoChemicalIndic'!$B$1:$S$71</definedName>
    <definedName name="_xlnm.Print_Area" localSheetId="3">'Calc_Flow'!$A$2:$O$60</definedName>
    <definedName name="_xlnm.Print_Area" localSheetId="13">'Chemical List'!$A$1:$N$34</definedName>
    <definedName name="_xlnm.Print_Area" localSheetId="9">'Graphical_prest'!$A$1:$N$66</definedName>
    <definedName name="_xlnm.Print_Area" localSheetId="8">'Historical_data_entry_1'!$A$1:$W$67</definedName>
    <definedName name="_xlnm.Print_Area" localSheetId="5">'Kendall_K_Statistics'!$A$1:$P$108</definedName>
    <definedName name="_xlnm.Print_Area" localSheetId="6">'Mann_Kendall'!$A$1:$J$67</definedName>
    <definedName name="_xlnm.Print_Area" localSheetId="7">'Mann_Whitney_U'!$A$1:$K$112</definedName>
    <definedName name="_xlnm.Print_Area" localSheetId="1">'Title_NA'!$B$2:$H$20</definedName>
    <definedName name="SigLevel_LinReg">'Temporal_Analysis'!$H$8</definedName>
    <definedName name="sigLvl_graph">'Graphical_prest'!$K$11</definedName>
    <definedName name="solver_adj" localSheetId="11" hidden="1">'AtteuationRate_calc'!#REF!</definedName>
    <definedName name="solver_adj" localSheetId="13" hidden="1">'Chemical List'!#REF!,'Chemical List'!#REF!</definedName>
    <definedName name="solver_cvg" localSheetId="11" hidden="1">0.0001</definedName>
    <definedName name="solver_cvg" localSheetId="13" hidden="1">0.001</definedName>
    <definedName name="solver_drv" localSheetId="11" hidden="1">1</definedName>
    <definedName name="solver_drv" localSheetId="13" hidden="1">1</definedName>
    <definedName name="solver_est" localSheetId="11" hidden="1">1</definedName>
    <definedName name="solver_est" localSheetId="13" hidden="1">1</definedName>
    <definedName name="solver_itr" localSheetId="11" hidden="1">100</definedName>
    <definedName name="solver_itr" localSheetId="13" hidden="1">100</definedName>
    <definedName name="solver_lhs1" localSheetId="11" hidden="1">'AtteuationRate_calc'!#REF!</definedName>
    <definedName name="solver_lhs1" localSheetId="13" hidden="1">'Chemical List'!#REF!</definedName>
    <definedName name="solver_lhs2" localSheetId="13" hidden="1">'Chemical List'!#REF!</definedName>
    <definedName name="solver_lhs3" localSheetId="13" hidden="1">'Chemical List'!#REF!</definedName>
    <definedName name="solver_lin" localSheetId="11" hidden="1">2</definedName>
    <definedName name="solver_lin" localSheetId="13" hidden="1">2</definedName>
    <definedName name="solver_neg" localSheetId="11" hidden="1">2</definedName>
    <definedName name="solver_neg" localSheetId="13" hidden="1">2</definedName>
    <definedName name="solver_num" localSheetId="11" hidden="1">1</definedName>
    <definedName name="solver_num" localSheetId="13" hidden="1">2</definedName>
    <definedName name="solver_nwt" localSheetId="11" hidden="1">1</definedName>
    <definedName name="solver_nwt" localSheetId="13" hidden="1">1</definedName>
    <definedName name="solver_opt" localSheetId="11" hidden="1">'AtteuationRate_calc'!#REF!</definedName>
    <definedName name="solver_opt" localSheetId="13" hidden="1">'Chemical List'!#REF!</definedName>
    <definedName name="solver_pre" localSheetId="11" hidden="1">0.000001</definedName>
    <definedName name="solver_pre" localSheetId="13" hidden="1">0.001</definedName>
    <definedName name="solver_rel1" localSheetId="11" hidden="1">3</definedName>
    <definedName name="solver_rel1" localSheetId="13" hidden="1">2</definedName>
    <definedName name="solver_rel2" localSheetId="13" hidden="1">2</definedName>
    <definedName name="solver_rel3" localSheetId="13" hidden="1">2</definedName>
    <definedName name="solver_rhs1" localSheetId="11" hidden="1">0</definedName>
    <definedName name="solver_rhs1" localSheetId="13" hidden="1">0</definedName>
    <definedName name="solver_rhs2" localSheetId="13" hidden="1">0</definedName>
    <definedName name="solver_rhs3" localSheetId="13" hidden="1">0</definedName>
    <definedName name="solver_scl" localSheetId="11" hidden="1">2</definedName>
    <definedName name="solver_scl" localSheetId="13" hidden="1">2</definedName>
    <definedName name="solver_sho" localSheetId="11" hidden="1">2</definedName>
    <definedName name="solver_sho" localSheetId="13" hidden="1">2</definedName>
    <definedName name="solver_tim" localSheetId="11" hidden="1">100</definedName>
    <definedName name="solver_tim" localSheetId="13" hidden="1">100</definedName>
    <definedName name="solver_tol" localSheetId="11" hidden="1">0.05</definedName>
    <definedName name="solver_tol" localSheetId="13" hidden="1">0.05</definedName>
    <definedName name="solver_typ" localSheetId="11" hidden="1">3</definedName>
    <definedName name="solver_typ" localSheetId="13" hidden="1">3</definedName>
    <definedName name="solver_val" localSheetId="11" hidden="1">0</definedName>
    <definedName name="solver_val" localSheetId="13" hidden="1">0</definedName>
    <definedName name="UCF1" localSheetId="0">'[2]DC_InputOutput'!#REF!</definedName>
    <definedName name="Vbuilding" localSheetId="0">'[2]InputOutput'!#REF!</definedName>
    <definedName name="well_Loc" localSheetId="14">'AC_calGeoChemicalIndic'!$H$10:$S$10</definedName>
    <definedName name="well_Loc">'Historical_data_entry_1'!$H$9:$W$9</definedName>
    <definedName name="well_location">'Graphical_prest'!$E$11</definedName>
    <definedName name="whitney">'Mann_Whitney_U'!$E$14:$J$14</definedName>
    <definedName name="whitney_data">'Mann_Whitney_U'!$E$14:$J$25</definedName>
    <definedName name="Zcrack" localSheetId="0">'[2]InputOutput'!#REF!</definedName>
  </definedNames>
  <calcPr fullCalcOnLoad="1"/>
</workbook>
</file>

<file path=xl/comments10.xml><?xml version="1.0" encoding="utf-8"?>
<comments xmlns="http://schemas.openxmlformats.org/spreadsheetml/2006/main">
  <authors>
    <author>Hun Seak Park</author>
  </authors>
  <commentList>
    <comment ref="E11" authorId="0">
      <text>
        <r>
          <rPr>
            <b/>
            <sz val="8"/>
            <rFont val="Tahoma"/>
            <family val="2"/>
          </rPr>
          <t>Select The well location.</t>
        </r>
      </text>
    </comment>
    <comment ref="E39" authorId="0">
      <text>
        <r>
          <rPr>
            <b/>
            <sz val="8"/>
            <rFont val="Tahoma"/>
            <family val="2"/>
          </rPr>
          <t>Select the date of sampling.</t>
        </r>
      </text>
    </comment>
  </commentList>
</comments>
</file>

<file path=xl/comments11.xml><?xml version="1.0" encoding="utf-8"?>
<comments xmlns="http://schemas.openxmlformats.org/spreadsheetml/2006/main">
  <authors>
    <author>HPAR461</author>
    <author>Hun Seak Park</author>
  </authors>
  <commentList>
    <comment ref="G56" authorId="0">
      <text>
        <r>
          <rPr>
            <b/>
            <sz val="11"/>
            <rFont val="Tahoma"/>
            <family val="2"/>
          </rPr>
          <t xml:space="preserve">Mario F. Triola,  "Elementary Statistics", Chapter 9: Correlation and Regression, PP. 476-501,  Addison-Wesley, 7th Ed, 1997.
Jay Devore and Roxy Peck, "Statistics: The Exploration and Analysis of Data",  Chapter 13: Simple Linear Regression and Correlation: Inferential methods,  PP. 497-547, Duxbury Thomson Learning, 4th Ed, 2001.
</t>
        </r>
      </text>
    </comment>
    <comment ref="B15" authorId="1">
      <text>
        <r>
          <rPr>
            <sz val="12"/>
            <rFont val="Tahoma"/>
            <family val="2"/>
          </rPr>
          <t xml:space="preserve">C.L. : Confidence Level
</t>
        </r>
      </text>
    </comment>
    <comment ref="B16" authorId="1">
      <text>
        <r>
          <rPr>
            <sz val="12"/>
            <rFont val="Tahoma"/>
            <family val="2"/>
          </rPr>
          <t xml:space="preserve">The length of time that will actually be required is estimated to be no more than years calculated
</t>
        </r>
      </text>
    </comment>
  </commentList>
</comments>
</file>

<file path=xl/comments14.xml><?xml version="1.0" encoding="utf-8"?>
<comments xmlns="http://schemas.openxmlformats.org/spreadsheetml/2006/main">
  <authors>
    <author>State of Washington</author>
  </authors>
  <commentList>
    <comment ref="I3" authorId="0">
      <text>
        <r>
          <rPr>
            <b/>
            <sz val="11"/>
            <rFont val="Tahoma"/>
            <family val="2"/>
          </rPr>
          <t>Utilization Factor is the Ratio of the mass of contaminants biodegraded to the mass of electron acceptor utilized (or metabolically produced);  refer to 
1. USEPA, Bioplume III User's manual Version, pp15-18, 1998.
2.  B5-8 to B5-29, "Technical Protocol for Implementing Intrisic Remediation with Long-term Monitoring for Natural Attenuation of Fuel Contamination Dissolved in Groundwater", Todd Wiedemeier, John T. Wilson, Air Force Center for Environemntal Excellence, Technology Transfer Divison, 1995.</t>
        </r>
        <r>
          <rPr>
            <sz val="11"/>
            <rFont val="Tahoma"/>
            <family val="2"/>
          </rPr>
          <t xml:space="preserve">
</t>
        </r>
      </text>
    </comment>
  </commentList>
</comments>
</file>

<file path=xl/comments15.xml><?xml version="1.0" encoding="utf-8"?>
<comments xmlns="http://schemas.openxmlformats.org/spreadsheetml/2006/main">
  <authors>
    <author>State of Washington</author>
    <author>HPAR461</author>
    <author>Hun Seak Park</author>
  </authors>
  <commentList>
    <comment ref="C12" authorId="0">
      <text>
        <r>
          <rPr>
            <b/>
            <sz val="11"/>
            <rFont val="Tahoma"/>
            <family val="2"/>
          </rPr>
          <t>Distance Down Gradient to source well (Centerline Distance)</t>
        </r>
      </text>
    </comment>
    <comment ref="K10" authorId="0">
      <text>
        <r>
          <rPr>
            <b/>
            <sz val="11"/>
            <rFont val="Tahoma"/>
            <family val="2"/>
          </rPr>
          <t>Source Well</t>
        </r>
      </text>
    </comment>
    <comment ref="G37" authorId="1">
      <text>
        <r>
          <rPr>
            <b/>
            <sz val="11"/>
            <rFont val="Tahoma"/>
            <family val="2"/>
          </rPr>
          <t>Utilization Factor is the Ratio of the mass of contaminants biodegraded to the mass of electron acceptor utilized (or metabolically produced).</t>
        </r>
      </text>
    </comment>
    <comment ref="I10" authorId="2">
      <text>
        <r>
          <rPr>
            <b/>
            <sz val="8"/>
            <rFont val="Tahoma"/>
            <family val="2"/>
          </rPr>
          <t>Left side wells are Up-gradient wells.</t>
        </r>
        <r>
          <rPr>
            <sz val="8"/>
            <rFont val="Tahoma"/>
            <family val="2"/>
          </rPr>
          <t xml:space="preserve">
</t>
        </r>
      </text>
    </comment>
    <comment ref="M10" authorId="2">
      <text>
        <r>
          <rPr>
            <b/>
            <sz val="8"/>
            <rFont val="Tahoma"/>
            <family val="2"/>
          </rPr>
          <t>Right side wells are Down-gradient wells.</t>
        </r>
        <r>
          <rPr>
            <sz val="8"/>
            <rFont val="Tahoma"/>
            <family val="2"/>
          </rPr>
          <t xml:space="preserve">
</t>
        </r>
      </text>
    </comment>
    <comment ref="G35" authorId="2">
      <text>
        <r>
          <rPr>
            <b/>
            <sz val="8"/>
            <rFont val="Tahoma"/>
            <family val="2"/>
          </rPr>
          <t>Select the chemical of concern shown above.</t>
        </r>
      </text>
    </comment>
    <comment ref="G48" authorId="2">
      <text>
        <r>
          <rPr>
            <b/>
            <sz val="8"/>
            <rFont val="Tahoma"/>
            <family val="2"/>
          </rPr>
          <t>Select The chemical of concern shown above.</t>
        </r>
      </text>
    </comment>
    <comment ref="G49" authorId="2">
      <text>
        <r>
          <rPr>
            <b/>
            <sz val="8"/>
            <rFont val="Tahoma"/>
            <family val="2"/>
          </rPr>
          <t>Select a Geochemical indicator for a comparison.</t>
        </r>
      </text>
    </comment>
    <comment ref="G50" authorId="2">
      <text>
        <r>
          <rPr>
            <b/>
            <sz val="8"/>
            <rFont val="Tahoma"/>
            <family val="2"/>
          </rPr>
          <t>Select a geochemical indicator for a comparison</t>
        </r>
      </text>
    </comment>
    <comment ref="H23" authorId="2">
      <text>
        <r>
          <rPr>
            <b/>
            <sz val="8"/>
            <rFont val="Tahoma"/>
            <family val="2"/>
          </rPr>
          <t>enter the direct measurement here.</t>
        </r>
        <r>
          <rPr>
            <sz val="8"/>
            <rFont val="Tahoma"/>
            <family val="2"/>
          </rPr>
          <t xml:space="preserve">
</t>
        </r>
      </text>
    </comment>
    <comment ref="C18" authorId="2">
      <text>
        <r>
          <rPr>
            <b/>
            <sz val="8"/>
            <rFont val="Tahoma"/>
            <family val="2"/>
          </rPr>
          <t>Select the user-specified chemical from the database.</t>
        </r>
        <r>
          <rPr>
            <sz val="8"/>
            <rFont val="Tahoma"/>
            <family val="2"/>
          </rPr>
          <t xml:space="preserve">
</t>
        </r>
      </text>
    </comment>
    <comment ref="C19" authorId="2">
      <text>
        <r>
          <rPr>
            <b/>
            <sz val="8"/>
            <rFont val="Tahoma"/>
            <family val="2"/>
          </rPr>
          <t>Select the user-specified chemical from the database.</t>
        </r>
      </text>
    </comment>
  </commentList>
</comments>
</file>

<file path=xl/comments7.xml><?xml version="1.0" encoding="utf-8"?>
<comments xmlns="http://schemas.openxmlformats.org/spreadsheetml/2006/main">
  <authors>
    <author>State of Washington</author>
    <author>Hun Seak Park</author>
  </authors>
  <commentList>
    <comment ref="C14" authorId="0">
      <text>
        <r>
          <rPr>
            <b/>
            <sz val="11"/>
            <rFont val="Tahoma"/>
            <family val="2"/>
          </rPr>
          <t>most recent data last</t>
        </r>
        <r>
          <rPr>
            <sz val="11"/>
            <rFont val="Tahoma"/>
            <family val="2"/>
          </rPr>
          <t xml:space="preserve">
</t>
        </r>
      </text>
    </comment>
    <comment ref="D46" authorId="1">
      <text>
        <r>
          <rPr>
            <b/>
            <sz val="8"/>
            <rFont val="Tahoma"/>
            <family val="2"/>
          </rPr>
          <t>Select The chemical of concern shown above.</t>
        </r>
      </text>
    </comment>
  </commentList>
</comments>
</file>

<file path=xl/comments8.xml><?xml version="1.0" encoding="utf-8"?>
<comments xmlns="http://schemas.openxmlformats.org/spreadsheetml/2006/main">
  <authors>
    <author>Hun Seak Park</author>
  </authors>
  <commentList>
    <comment ref="D14" authorId="0">
      <text>
        <r>
          <rPr>
            <b/>
            <sz val="8"/>
            <rFont val="Tahoma"/>
            <family val="2"/>
          </rPr>
          <t>most recent last</t>
        </r>
        <r>
          <rPr>
            <sz val="8"/>
            <rFont val="Tahoma"/>
            <family val="2"/>
          </rPr>
          <t xml:space="preserve">
</t>
        </r>
      </text>
    </comment>
    <comment ref="D30" authorId="0">
      <text>
        <r>
          <rPr>
            <b/>
            <sz val="8"/>
            <rFont val="Tahoma"/>
            <family val="2"/>
          </rPr>
          <t>Select The chemical of concern shown above.</t>
        </r>
      </text>
    </comment>
  </commentList>
</comments>
</file>

<file path=xl/comments9.xml><?xml version="1.0" encoding="utf-8"?>
<comments xmlns="http://schemas.openxmlformats.org/spreadsheetml/2006/main">
  <authors>
    <author>State of Washington</author>
  </authors>
  <commentList>
    <comment ref="C11" authorId="0">
      <text>
        <r>
          <rPr>
            <b/>
            <sz val="8"/>
            <rFont val="Tahoma"/>
            <family val="2"/>
          </rPr>
          <t>Distance Down Gradient to source well (Centerline Distance) for 2-D Analysis</t>
        </r>
      </text>
    </comment>
    <comment ref="H9" authorId="0">
      <text>
        <r>
          <rPr>
            <b/>
            <sz val="11"/>
            <rFont val="Tahoma"/>
            <family val="2"/>
          </rPr>
          <t>This well should always be  Source Zone Well.</t>
        </r>
      </text>
    </comment>
    <comment ref="F17" authorId="0">
      <text>
        <r>
          <rPr>
            <b/>
            <sz val="11"/>
            <rFont val="Tahoma"/>
            <family val="2"/>
          </rPr>
          <t>Most recent last</t>
        </r>
      </text>
    </comment>
    <comment ref="C14" authorId="0">
      <text>
        <r>
          <rPr>
            <b/>
            <sz val="11"/>
            <rFont val="Tahoma"/>
            <family val="2"/>
          </rPr>
          <t>Off-Plume-Centerline Angle, degree; calculation  of the converting a distance froma an off-centerline well to a centerline well; for 1-D Analysis; based on the assumption  of the ellipse plume shape; Refer to " K. M. Martin-Hayden and G.A. Robbins, "Plume Distortion and Apparent Attenuation due to Concentration Averaging in Monitoring Wells, Ground Water, Volume 35, No 2, 1997, pp339-346.</t>
        </r>
      </text>
    </comment>
    <comment ref="H46" authorId="0">
      <text>
        <r>
          <rPr>
            <b/>
            <sz val="11"/>
            <rFont val="Tahoma"/>
            <family val="2"/>
          </rPr>
          <t>This well should be always Source Zone Well</t>
        </r>
        <r>
          <rPr>
            <sz val="11"/>
            <rFont val="Tahoma"/>
            <family val="2"/>
          </rPr>
          <t xml:space="preserve">
</t>
        </r>
      </text>
    </comment>
  </commentList>
</comments>
</file>

<file path=xl/sharedStrings.xml><?xml version="1.0" encoding="utf-8"?>
<sst xmlns="http://schemas.openxmlformats.org/spreadsheetml/2006/main" count="732" uniqueCount="457">
  <si>
    <t>Unit</t>
  </si>
  <si>
    <t>ft</t>
  </si>
  <si>
    <t>unitless</t>
  </si>
  <si>
    <t>Min</t>
  </si>
  <si>
    <t>x-direction</t>
  </si>
  <si>
    <t>y-direction</t>
  </si>
  <si>
    <t>day</t>
  </si>
  <si>
    <t>MW6</t>
  </si>
  <si>
    <t>MW8</t>
  </si>
  <si>
    <t>MW9</t>
  </si>
  <si>
    <t>Sampling Location:</t>
  </si>
  <si>
    <t>degree</t>
  </si>
  <si>
    <t>Centerline Distance to Source Well</t>
  </si>
  <si>
    <t xml:space="preserve">Off-centerline Angle </t>
  </si>
  <si>
    <t>Distance Down Gradient (to source well), feet</t>
  </si>
  <si>
    <t>date</t>
  </si>
  <si>
    <t>Sequence Sampling Event</t>
  </si>
  <si>
    <t>Name of Chemial</t>
  </si>
  <si>
    <t>slope</t>
  </si>
  <si>
    <t>ug/L</t>
  </si>
  <si>
    <t>n</t>
  </si>
  <si>
    <t>Cleanup Level (Criterion) to be achieved</t>
  </si>
  <si>
    <t xml:space="preserve">prediction at future time </t>
  </si>
  <si>
    <t>predicted Conc at time t</t>
  </si>
  <si>
    <t>r</t>
  </si>
  <si>
    <t>Benzene</t>
  </si>
  <si>
    <t>Toluene</t>
  </si>
  <si>
    <t>Ethylbenzene</t>
  </si>
  <si>
    <t>Total Xylenes</t>
  </si>
  <si>
    <t>MTBE</t>
  </si>
  <si>
    <t>Site =</t>
  </si>
  <si>
    <t>BRRTS =</t>
  </si>
  <si>
    <t>Well =</t>
  </si>
  <si>
    <t xml:space="preserve">DATA ERR </t>
  </si>
  <si>
    <t>Event Number</t>
  </si>
  <si>
    <t>Event 1</t>
  </si>
  <si>
    <t>Event 2</t>
  </si>
  <si>
    <t>Event 3</t>
  </si>
  <si>
    <t>Event 4</t>
  </si>
  <si>
    <t>Event 5</t>
  </si>
  <si>
    <t>Event 6</t>
  </si>
  <si>
    <t>Event 7</t>
  </si>
  <si>
    <t>Event 8</t>
  </si>
  <si>
    <t>Event 9</t>
  </si>
  <si>
    <t>Event 10</t>
  </si>
  <si>
    <t>CHECKS</t>
  </si>
  <si>
    <t>Sum Rows</t>
  </si>
  <si>
    <t xml:space="preserve">Checks </t>
  </si>
  <si>
    <t>for data with</t>
  </si>
  <si>
    <t xml:space="preserve">values less </t>
  </si>
  <si>
    <t>than zero or</t>
  </si>
  <si>
    <t>text (a space</t>
  </si>
  <si>
    <t>is seen as</t>
  </si>
  <si>
    <t>text in Excel).</t>
  </si>
  <si>
    <t>Minus one (-1)</t>
  </si>
  <si>
    <t>shown if no</t>
  </si>
  <si>
    <t>error.</t>
  </si>
  <si>
    <t>Data error in column?</t>
  </si>
  <si>
    <t xml:space="preserve">Mann Kendall Statistic (S) = </t>
  </si>
  <si>
    <t>DATE  ERR</t>
  </si>
  <si>
    <t>Date</t>
  </si>
  <si>
    <t>Text in Date?</t>
  </si>
  <si>
    <t>Consecutive?</t>
  </si>
  <si>
    <t>Data w no date?</t>
  </si>
  <si>
    <t>a test for</t>
  </si>
  <si>
    <t>consecutive</t>
  </si>
  <si>
    <t>dates and</t>
  </si>
  <si>
    <t>text.  Minus</t>
  </si>
  <si>
    <t>one (-1)</t>
  </si>
  <si>
    <t xml:space="preserve"> Date Error?</t>
  </si>
  <si>
    <t>THIS BLOCK OF CELLS USED TO CHECK FOR DATA ENTRY ERRORS FOR CONTAMINANT DATA</t>
  </si>
  <si>
    <t>THIS SECTION</t>
  </si>
  <si>
    <t xml:space="preserve">INCLUDES ERROR </t>
  </si>
  <si>
    <t>CHECKS FOR DATA</t>
  </si>
  <si>
    <t>ENTRY</t>
  </si>
  <si>
    <t xml:space="preserve">If no error detected, </t>
  </si>
  <si>
    <t xml:space="preserve">   -1 in cell</t>
  </si>
  <si>
    <t xml:space="preserve">Note that a space is </t>
  </si>
  <si>
    <t xml:space="preserve">  considered text in Excel</t>
  </si>
  <si>
    <t>Column Check</t>
  </si>
  <si>
    <t xml:space="preserve">     CHECK FOR DATE ERRORS IN DATA ENTRY</t>
  </si>
  <si>
    <t xml:space="preserve">THIS SECTION TESTS </t>
  </si>
  <si>
    <t>Text Error?</t>
  </si>
  <si>
    <t>Is Blank?</t>
  </si>
  <si>
    <t>Consecutive</t>
  </si>
  <si>
    <t>FOR DATE ERRORS</t>
  </si>
  <si>
    <t>Dates?</t>
  </si>
  <si>
    <t xml:space="preserve">  -1 in cell</t>
  </si>
  <si>
    <t>Check for Quarterly</t>
  </si>
  <si>
    <t>Check for Semi-Annual</t>
  </si>
  <si>
    <t>FOR QUARTERLY AND</t>
  </si>
  <si>
    <t>If too late = 1</t>
  </si>
  <si>
    <t>If too early = 1</t>
  </si>
  <si>
    <t>SEMI ANNUAL DATA</t>
  </si>
  <si>
    <t xml:space="preserve">Acceptable time range </t>
  </si>
  <si>
    <t xml:space="preserve">for quarterly is ~ 45 days </t>
  </si>
  <si>
    <t xml:space="preserve">and for semi-annual is </t>
  </si>
  <si>
    <t xml:space="preserve">~ 60 days from the date </t>
  </si>
  <si>
    <t xml:space="preserve">the samples should </t>
  </si>
  <si>
    <t>have been collected.</t>
  </si>
  <si>
    <t>Sum</t>
  </si>
  <si>
    <t>THIS SECTION USED</t>
  </si>
  <si>
    <t>Round 1</t>
  </si>
  <si>
    <t>TO CALCULATE RANK</t>
  </si>
  <si>
    <t>Wilcoxon Rank Sum</t>
  </si>
  <si>
    <t>U Statistic</t>
  </si>
  <si>
    <t>Trend</t>
  </si>
  <si>
    <t>Plume Status?</t>
  </si>
  <si>
    <t>date?</t>
  </si>
  <si>
    <t>AVG</t>
  </si>
  <si>
    <t>mg/L</t>
  </si>
  <si>
    <t>pH</t>
  </si>
  <si>
    <t>Background</t>
  </si>
  <si>
    <t>Alkalinity</t>
  </si>
  <si>
    <t>utilized</t>
  </si>
  <si>
    <t>produced</t>
  </si>
  <si>
    <t>Max</t>
  </si>
  <si>
    <t>S</t>
  </si>
  <si>
    <t>#1</t>
  </si>
  <si>
    <t>#2</t>
  </si>
  <si>
    <t>#3</t>
  </si>
  <si>
    <t>#4</t>
  </si>
  <si>
    <t>#5</t>
  </si>
  <si>
    <t>#6</t>
  </si>
  <si>
    <t>#7</t>
  </si>
  <si>
    <t>#8</t>
  </si>
  <si>
    <t>Total</t>
  </si>
  <si>
    <t>Molecular Weight</t>
  </si>
  <si>
    <t>Aqueous Solubility</t>
  </si>
  <si>
    <t>Liquid Density</t>
  </si>
  <si>
    <t>mg/mol</t>
  </si>
  <si>
    <t>year</t>
  </si>
  <si>
    <t>Average Conc (conc vs distanace analysis)</t>
  </si>
  <si>
    <t>Co</t>
  </si>
  <si>
    <t>year from time zero</t>
  </si>
  <si>
    <t>year from zero</t>
  </si>
  <si>
    <t>Empirical calculation of restoration time frame</t>
  </si>
  <si>
    <t>TPH-G</t>
  </si>
  <si>
    <t>B+T+E+X</t>
  </si>
  <si>
    <t>Distance</t>
  </si>
  <si>
    <t>Sampling Event</t>
  </si>
  <si>
    <t>Site Name:</t>
  </si>
  <si>
    <t>User-specified chemical1</t>
  </si>
  <si>
    <t>Site Address:</t>
  </si>
  <si>
    <t>#9</t>
  </si>
  <si>
    <t>#10</t>
  </si>
  <si>
    <t>#11</t>
  </si>
  <si>
    <t>#12</t>
  </si>
  <si>
    <t>#13</t>
  </si>
  <si>
    <t>#14</t>
  </si>
  <si>
    <t>#15</t>
  </si>
  <si>
    <t>#16</t>
  </si>
  <si>
    <t>Graph1</t>
  </si>
  <si>
    <t>Scale Conversion to Natural log  Calculation</t>
  </si>
  <si>
    <t>Is there sufficient evidence to support a significant log-linear correlation (fit a 1st-order regression model)?</t>
  </si>
  <si>
    <t>Time to take CLU set  from time zero</t>
  </si>
  <si>
    <t>Well (Sampling) Location</t>
  </si>
  <si>
    <t>BTEX</t>
  </si>
  <si>
    <t>MW-2</t>
  </si>
  <si>
    <t>Day</t>
  </si>
  <si>
    <r>
      <t>Dissolved Oxygen (O</t>
    </r>
    <r>
      <rPr>
        <vertAlign val="subscript"/>
        <sz val="10"/>
        <rFont val="Times New Roman"/>
        <family val="1"/>
      </rPr>
      <t>2</t>
    </r>
    <r>
      <rPr>
        <sz val="10"/>
        <rFont val="Times New Roman"/>
        <family val="1"/>
      </rPr>
      <t>) utilized</t>
    </r>
  </si>
  <si>
    <r>
      <t>Nitrate (NO</t>
    </r>
    <r>
      <rPr>
        <vertAlign val="subscript"/>
        <sz val="10"/>
        <rFont val="Times New Roman"/>
        <family val="1"/>
      </rPr>
      <t>3</t>
    </r>
    <r>
      <rPr>
        <vertAlign val="superscript"/>
        <sz val="10"/>
        <rFont val="Times New Roman"/>
        <family val="1"/>
      </rPr>
      <t>-1</t>
    </r>
    <r>
      <rPr>
        <sz val="10"/>
        <rFont val="Times New Roman"/>
        <family val="1"/>
      </rPr>
      <t>) utilized</t>
    </r>
  </si>
  <si>
    <r>
      <t>Sulfate (SO</t>
    </r>
    <r>
      <rPr>
        <vertAlign val="subscript"/>
        <sz val="10"/>
        <rFont val="Times New Roman"/>
        <family val="1"/>
      </rPr>
      <t>4</t>
    </r>
    <r>
      <rPr>
        <vertAlign val="superscript"/>
        <sz val="10"/>
        <rFont val="Times New Roman"/>
        <family val="1"/>
      </rPr>
      <t>-2</t>
    </r>
    <r>
      <rPr>
        <sz val="10"/>
        <rFont val="Times New Roman"/>
        <family val="1"/>
      </rPr>
      <t>) utilized</t>
    </r>
  </si>
  <si>
    <t>sum</t>
  </si>
  <si>
    <t>MW10</t>
  </si>
  <si>
    <t>MW12</t>
  </si>
  <si>
    <t>Date sampled</t>
  </si>
  <si>
    <t>error check</t>
  </si>
  <si>
    <t>Average Concentration</t>
  </si>
  <si>
    <t>Minimum Concentration</t>
  </si>
  <si>
    <t>mV</t>
  </si>
  <si>
    <t>Equivalent Contaminant Degradation</t>
  </si>
  <si>
    <t>UF</t>
  </si>
  <si>
    <t>Iintercept</t>
  </si>
  <si>
    <t>Contaminant Raw Data</t>
  </si>
  <si>
    <t>Confidence?</t>
  </si>
  <si>
    <t>Event 11</t>
  </si>
  <si>
    <t>Event 12</t>
  </si>
  <si>
    <t>Event 13</t>
  </si>
  <si>
    <t>Event 14</t>
  </si>
  <si>
    <t>Event 15</t>
  </si>
  <si>
    <t>Event 16</t>
  </si>
  <si>
    <t>Estimated standard error</t>
  </si>
  <si>
    <r>
      <t>X</t>
    </r>
    <r>
      <rPr>
        <vertAlign val="superscript"/>
        <sz val="12"/>
        <rFont val="Times New Roman"/>
        <family val="1"/>
      </rPr>
      <t>2</t>
    </r>
  </si>
  <si>
    <r>
      <t>S</t>
    </r>
    <r>
      <rPr>
        <sz val="12"/>
        <rFont val="Times New Roman"/>
        <family val="1"/>
      </rPr>
      <t>X</t>
    </r>
  </si>
  <si>
    <r>
      <t>S</t>
    </r>
    <r>
      <rPr>
        <sz val="12"/>
        <rFont val="Times New Roman"/>
        <family val="1"/>
      </rPr>
      <t>X</t>
    </r>
    <r>
      <rPr>
        <vertAlign val="superscript"/>
        <sz val="12"/>
        <rFont val="Times New Roman"/>
        <family val="1"/>
      </rPr>
      <t>2</t>
    </r>
  </si>
  <si>
    <t>Predetermined  confidence level</t>
  </si>
  <si>
    <r>
      <t xml:space="preserve">t </t>
    </r>
    <r>
      <rPr>
        <vertAlign val="subscript"/>
        <sz val="12"/>
        <rFont val="Times New Roman"/>
        <family val="1"/>
      </rPr>
      <t>a/2</t>
    </r>
  </si>
  <si>
    <r>
      <t>S</t>
    </r>
    <r>
      <rPr>
        <vertAlign val="subscript"/>
        <sz val="12"/>
        <rFont val="Times New Roman"/>
        <family val="1"/>
      </rPr>
      <t>xx</t>
    </r>
  </si>
  <si>
    <t>range of confidence interval</t>
  </si>
  <si>
    <t>LN(Y)</t>
  </si>
  <si>
    <t>Intercept</t>
  </si>
  <si>
    <t>rate lower boundary</t>
  </si>
  <si>
    <t>time</t>
  </si>
  <si>
    <t>X (time)</t>
  </si>
  <si>
    <t>Y (conc)</t>
  </si>
  <si>
    <t>SUM</t>
  </si>
  <si>
    <t>Slope</t>
  </si>
  <si>
    <r>
      <t>t</t>
    </r>
    <r>
      <rPr>
        <vertAlign val="subscript"/>
        <sz val="12"/>
        <rFont val="Times New Roman"/>
        <family val="1"/>
      </rPr>
      <t>1/2</t>
    </r>
  </si>
  <si>
    <t>average</t>
  </si>
  <si>
    <t>upper boundary</t>
  </si>
  <si>
    <t>lower boundary</t>
  </si>
  <si>
    <r>
      <t>X</t>
    </r>
    <r>
      <rPr>
        <b/>
        <vertAlign val="superscript"/>
        <sz val="12"/>
        <rFont val="Times New Roman"/>
        <family val="1"/>
      </rPr>
      <t>2</t>
    </r>
  </si>
  <si>
    <t>Confidence Interval</t>
  </si>
  <si>
    <t>Sample Calculation</t>
  </si>
  <si>
    <r>
      <t>S</t>
    </r>
    <r>
      <rPr>
        <b/>
        <sz val="12"/>
        <rFont val="Times New Roman"/>
        <family val="1"/>
      </rPr>
      <t>X</t>
    </r>
  </si>
  <si>
    <r>
      <t>S</t>
    </r>
    <r>
      <rPr>
        <b/>
        <sz val="12"/>
        <rFont val="Times New Roman"/>
        <family val="1"/>
      </rPr>
      <t>X</t>
    </r>
    <r>
      <rPr>
        <b/>
        <vertAlign val="superscript"/>
        <sz val="12"/>
        <rFont val="Times New Roman"/>
        <family val="1"/>
      </rPr>
      <t>2</t>
    </r>
  </si>
  <si>
    <r>
      <t>S</t>
    </r>
    <r>
      <rPr>
        <b/>
        <vertAlign val="subscript"/>
        <sz val="12"/>
        <rFont val="Times New Roman"/>
        <family val="1"/>
      </rPr>
      <t>xx</t>
    </r>
  </si>
  <si>
    <t>t-statistics value</t>
  </si>
  <si>
    <t>best-fitting intercept</t>
  </si>
  <si>
    <r>
      <t>k</t>
    </r>
    <r>
      <rPr>
        <vertAlign val="subscript"/>
        <sz val="12"/>
        <rFont val="Times New Roman"/>
        <family val="1"/>
      </rPr>
      <t>point</t>
    </r>
  </si>
  <si>
    <t>Temporal Analysis Ground Water data</t>
  </si>
  <si>
    <r>
      <t>r</t>
    </r>
    <r>
      <rPr>
        <vertAlign val="superscript"/>
        <sz val="12"/>
        <rFont val="Times New Roman"/>
        <family val="1"/>
      </rPr>
      <t>2</t>
    </r>
  </si>
  <si>
    <t xml:space="preserve">   1. Prediction of restoration time</t>
  </si>
  <si>
    <t xml:space="preserve">   2. Prediction of concentration</t>
  </si>
  <si>
    <r>
      <t>Half life for k</t>
    </r>
    <r>
      <rPr>
        <vertAlign val="subscript"/>
        <sz val="12"/>
        <rFont val="Times New Roman"/>
        <family val="1"/>
      </rPr>
      <t>point</t>
    </r>
    <r>
      <rPr>
        <sz val="12"/>
        <rFont val="Times New Roman"/>
        <family val="1"/>
      </rPr>
      <t xml:space="preserve"> rate</t>
    </r>
  </si>
  <si>
    <t>Criteria for Confidence level predetermined (one-tailed)?</t>
  </si>
  <si>
    <t>Temporal analysis</t>
  </si>
  <si>
    <t>Calculation of lower boundary confidence Interval under the predetermined confidence level specified by a user</t>
  </si>
  <si>
    <r>
      <t>day</t>
    </r>
    <r>
      <rPr>
        <vertAlign val="superscript"/>
        <sz val="12"/>
        <rFont val="Times New Roman"/>
        <family val="1"/>
      </rPr>
      <t>-1</t>
    </r>
  </si>
  <si>
    <r>
      <t>day</t>
    </r>
  </si>
  <si>
    <t>Confidence internval for slope</t>
  </si>
  <si>
    <t>lower boundary for slope</t>
  </si>
  <si>
    <t>coorelation</t>
  </si>
  <si>
    <t>Predetermined (by a user) Criteria for Confidence Level?:</t>
  </si>
  <si>
    <r>
      <t>(two-tailed)_t-satistics for linear correlation: t=r/sqrt((1-r</t>
    </r>
    <r>
      <rPr>
        <vertAlign val="superscript"/>
        <sz val="12"/>
        <rFont val="Times New Roman"/>
        <family val="1"/>
      </rPr>
      <t>2</t>
    </r>
    <r>
      <rPr>
        <sz val="12"/>
        <rFont val="Times New Roman"/>
        <family val="1"/>
      </rPr>
      <t>)/(n-2))</t>
    </r>
  </si>
  <si>
    <t>with Pearson Correlation coefficient</t>
  </si>
  <si>
    <t xml:space="preserve">Calculation Student t-distribution: Mario F. Triola, Elementary Statistics (7th Ed., 1997), p.484-490 and </t>
  </si>
  <si>
    <t>Confidence Level Calc for two-tailed t-statistics</t>
  </si>
  <si>
    <r>
      <t>Calculation of slope (k</t>
    </r>
    <r>
      <rPr>
        <b/>
        <vertAlign val="subscript"/>
        <sz val="14"/>
        <rFont val="Times New Roman"/>
        <family val="1"/>
      </rPr>
      <t>point</t>
    </r>
    <r>
      <rPr>
        <b/>
        <sz val="14"/>
        <rFont val="Times New Roman"/>
        <family val="1"/>
      </rPr>
      <t>) and intercept and coefficient of  - correlation</t>
    </r>
  </si>
  <si>
    <t>best-fitting slope (absolute value)</t>
  </si>
  <si>
    <t>Properties of Chemicals commonly found at Petroleum Contaminated Sites</t>
  </si>
  <si>
    <t>Physical-Chemical Properties</t>
  </si>
  <si>
    <t xml:space="preserve">Utilization Factor </t>
  </si>
  <si>
    <t>CAS NO</t>
  </si>
  <si>
    <t>Compound or Petroleum Equivalent Carbon Fraction</t>
  </si>
  <si>
    <t>Equivalent Carbon Number</t>
  </si>
  <si>
    <t>Henry's Law Constant</t>
  </si>
  <si>
    <t>Soil Organic Carbon-Water Partitioning Coefficient</t>
  </si>
  <si>
    <t>MW</t>
  </si>
  <si>
    <t>Hcc</t>
  </si>
  <si>
    <t>Koc</t>
  </si>
  <si>
    <t>weight fraction</t>
  </si>
  <si>
    <t>AVG KOC</t>
  </si>
  <si>
    <t>mg/l</t>
  </si>
  <si>
    <t>l/kg</t>
  </si>
  <si>
    <t>TPHG</t>
  </si>
  <si>
    <t>TPHD</t>
  </si>
  <si>
    <t>User-specified chemical2</t>
  </si>
  <si>
    <t>User-specified chemical3</t>
  </si>
  <si>
    <t>AL_EC &gt;5-6</t>
  </si>
  <si>
    <t>AL_EC &gt;6-8</t>
  </si>
  <si>
    <t>AL_EC &gt;8-10</t>
  </si>
  <si>
    <t>AL_EC &gt;10-12</t>
  </si>
  <si>
    <t>AL_EC &gt;12-16</t>
  </si>
  <si>
    <t>AL_EC &gt;16-21</t>
  </si>
  <si>
    <t>AL_EC &gt;21-34</t>
  </si>
  <si>
    <t>AR_EC &gt;8-10</t>
  </si>
  <si>
    <t>AR_EC &gt;10-12</t>
  </si>
  <si>
    <t>AR_EC &gt;12-16</t>
  </si>
  <si>
    <t>AR_EC &gt;16-21</t>
  </si>
  <si>
    <t>AR_EC &gt;21-34</t>
  </si>
  <si>
    <t>71-43-2</t>
  </si>
  <si>
    <t>108-88-3</t>
  </si>
  <si>
    <t>100-41-4</t>
  </si>
  <si>
    <t>TPH-D</t>
  </si>
  <si>
    <t>Total Naphthalenes</t>
  </si>
  <si>
    <t>110-54-3</t>
  </si>
  <si>
    <t>n-Hexane</t>
  </si>
  <si>
    <t>1634-04-4</t>
  </si>
  <si>
    <t>106-93-4</t>
  </si>
  <si>
    <t>Ethylene Dibromide (EDB)</t>
  </si>
  <si>
    <t>107-06-2</t>
  </si>
  <si>
    <t>1,2 Dichloroethane (EDC)</t>
  </si>
  <si>
    <r>
      <t>Manganese (Mn</t>
    </r>
    <r>
      <rPr>
        <vertAlign val="superscript"/>
        <sz val="10"/>
        <color indexed="10"/>
        <rFont val="Times New Roman"/>
        <family val="1"/>
      </rPr>
      <t>+2</t>
    </r>
    <r>
      <rPr>
        <sz val="10"/>
        <color indexed="10"/>
        <rFont val="Times New Roman"/>
        <family val="1"/>
      </rPr>
      <t>) produced</t>
    </r>
  </si>
  <si>
    <r>
      <t>Ferrous Iron (Fe</t>
    </r>
    <r>
      <rPr>
        <vertAlign val="superscript"/>
        <sz val="10"/>
        <color indexed="10"/>
        <rFont val="Times New Roman"/>
        <family val="1"/>
      </rPr>
      <t>+2</t>
    </r>
    <r>
      <rPr>
        <sz val="10"/>
        <color indexed="10"/>
        <rFont val="Times New Roman"/>
        <family val="1"/>
      </rPr>
      <t>) produced</t>
    </r>
  </si>
  <si>
    <r>
      <t>Methane (CH</t>
    </r>
    <r>
      <rPr>
        <vertAlign val="subscript"/>
        <sz val="10"/>
        <color indexed="10"/>
        <rFont val="Times New Roman"/>
        <family val="1"/>
      </rPr>
      <t>4</t>
    </r>
    <r>
      <rPr>
        <sz val="10"/>
        <color indexed="10"/>
        <rFont val="Times New Roman"/>
        <family val="1"/>
      </rPr>
      <t>) produced</t>
    </r>
  </si>
  <si>
    <r>
      <t>H</t>
    </r>
    <r>
      <rPr>
        <b/>
        <i/>
        <vertAlign val="subscript"/>
        <sz val="14"/>
        <rFont val="Times New Roman"/>
        <family val="1"/>
      </rPr>
      <t>cc</t>
    </r>
  </si>
  <si>
    <r>
      <t>K</t>
    </r>
    <r>
      <rPr>
        <b/>
        <i/>
        <vertAlign val="subscript"/>
        <sz val="14"/>
        <rFont val="Times New Roman"/>
        <family val="1"/>
      </rPr>
      <t>oc</t>
    </r>
  </si>
  <si>
    <t>Well Location:</t>
  </si>
  <si>
    <t>Unit of elevation is feet.</t>
  </si>
  <si>
    <t>Dist from source, x-direction</t>
  </si>
  <si>
    <t>Well Location</t>
  </si>
  <si>
    <t>Coefficient of Determination</t>
  </si>
  <si>
    <t>do not enter here</t>
  </si>
  <si>
    <t>day-1</t>
  </si>
  <si>
    <r>
      <t>yr</t>
    </r>
    <r>
      <rPr>
        <vertAlign val="superscript"/>
        <sz val="10"/>
        <rFont val="Times New Roman"/>
        <family val="1"/>
      </rPr>
      <t>-1</t>
    </r>
  </si>
  <si>
    <t>yr</t>
  </si>
  <si>
    <t>conditioned met?</t>
  </si>
  <si>
    <t>A. Cleanup Level (Criterion) to be achieved?</t>
  </si>
  <si>
    <t xml:space="preserve">      Time to reach the criterion</t>
  </si>
  <si>
    <t>B  Date of Prediction?</t>
  </si>
  <si>
    <t>3. Log-Linear Regression Results</t>
  </si>
  <si>
    <t>Additional Description:</t>
  </si>
  <si>
    <t>intercept</t>
  </si>
  <si>
    <t>start from zero day</t>
  </si>
  <si>
    <t>start from 6/22/2000 (420 ug/L)</t>
  </si>
  <si>
    <t>target =20 ug/L</t>
  </si>
  <si>
    <t>time duration</t>
  </si>
  <si>
    <t>aditional time</t>
  </si>
  <si>
    <t>at 6.76 yrs</t>
  </si>
  <si>
    <r>
      <t xml:space="preserve">      Time to reach the criterion</t>
    </r>
    <r>
      <rPr>
        <vertAlign val="superscript"/>
        <sz val="10"/>
        <rFont val="Times New Roman"/>
        <family val="1"/>
      </rPr>
      <t>2</t>
    </r>
  </si>
  <si>
    <t>Confidence Limit</t>
  </si>
  <si>
    <t>Name of Sampling Well?</t>
  </si>
  <si>
    <t>shrinking?</t>
  </si>
  <si>
    <t>Plot #4:</t>
  </si>
  <si>
    <t>Plot #1:</t>
  </si>
  <si>
    <t>Plot #2:</t>
  </si>
  <si>
    <t>Plot #3:</t>
  </si>
  <si>
    <t>L</t>
  </si>
  <si>
    <t>Theta, radian</t>
  </si>
  <si>
    <t>Centerline Distance to Source Well, ft</t>
  </si>
  <si>
    <t>Off-centerline dist, y-direction</t>
  </si>
  <si>
    <t>Contaminant concentration measured</t>
  </si>
  <si>
    <t>Calculation of ceterline distance (tranformation of 2-D to 1-D)</t>
  </si>
  <si>
    <t>Centerline Distance, ft</t>
  </si>
  <si>
    <t>distance</t>
  </si>
  <si>
    <t>distance transform</t>
  </si>
  <si>
    <t>TRANSFORMED center-line DISTANCE ( in order)</t>
  </si>
  <si>
    <t>Sampling date #3</t>
  </si>
  <si>
    <t>Sampling date #4</t>
  </si>
  <si>
    <t>Sampling date #1</t>
  </si>
  <si>
    <t>Sampling date #2</t>
  </si>
  <si>
    <t>Centerline Distance from source</t>
  </si>
  <si>
    <t>U Statistic?</t>
  </si>
  <si>
    <t>Date Sampled</t>
  </si>
  <si>
    <t>"S"</t>
  </si>
  <si>
    <t>Value</t>
  </si>
  <si>
    <t>Plume Stability?</t>
  </si>
  <si>
    <t>Level of Confidence (Decision Criteria)?</t>
  </si>
  <si>
    <t>ANY ERRORS IN DATES?</t>
  </si>
  <si>
    <t>ANY DATA ENTRY ERRORS?</t>
  </si>
  <si>
    <t>shown if no ERROR</t>
  </si>
  <si>
    <t>Blank if No Errors found</t>
  </si>
  <si>
    <t>Plume Stability</t>
  </si>
  <si>
    <t>Standard Deviation?</t>
  </si>
  <si>
    <t>Well (Sampling) Location?</t>
  </si>
  <si>
    <t>Average Concentration?</t>
  </si>
  <si>
    <t>Coefficient of Variation?</t>
  </si>
  <si>
    <t>Number of Sampling Rounds?</t>
  </si>
  <si>
    <t>Confidence Level Calculated?</t>
  </si>
  <si>
    <t>3. Temporal Trend: Plot of Concentration vs. Sampling Time</t>
  </si>
  <si>
    <t>Number of Sampling Rounds</t>
  </si>
  <si>
    <t>Blank If No Errors found</t>
  </si>
  <si>
    <t>Nitrate</t>
  </si>
  <si>
    <t>Sulfate</t>
  </si>
  <si>
    <t>Manganese</t>
  </si>
  <si>
    <t>Methane</t>
  </si>
  <si>
    <t>Dissolved Oxygen</t>
  </si>
  <si>
    <t>1. Monitoring Well Information: Contaminant Concentration at a well: Quarterly sampling recommended.</t>
  </si>
  <si>
    <t>1. Level of Confidence (Decision Criteria)?</t>
  </si>
  <si>
    <t>Washington State Department of Ecology: Toxics Cleanup Program</t>
  </si>
  <si>
    <t xml:space="preserve">1. Monitoring Well information: Contaminant Concentration at a well: </t>
  </si>
  <si>
    <t>Unit of concentration is ug/L</t>
  </si>
  <si>
    <t>Contaminant for UF Selection</t>
  </si>
  <si>
    <t>4. Geochemical Indicator Plot</t>
  </si>
  <si>
    <t>kpoint (avg)</t>
  </si>
  <si>
    <t>kpoint (boundary)</t>
  </si>
  <si>
    <t>1/2 life(avg)</t>
  </si>
  <si>
    <t>1/2 life(boundary)</t>
  </si>
  <si>
    <t xml:space="preserve">2. Spatial and Temporal Trend along Overall Plume Length for Multiple Wells: </t>
  </si>
  <si>
    <t>1. Temporal Trend at a Well (Concentration vs. Time &amp; Groundwater Elevation : well-to-well analysis)</t>
  </si>
  <si>
    <t>X (sampling period, day)</t>
  </si>
  <si>
    <t>Ferrous Iron</t>
  </si>
  <si>
    <t xml:space="preserve">      Date when the Criterion to be achieved</t>
  </si>
  <si>
    <t>2. Prediction: Calculation of Restoration Time and Predicted Concentration at Wells</t>
  </si>
  <si>
    <t>stability</t>
  </si>
  <si>
    <t>Mann-Kendall Statistic "S" value?</t>
  </si>
  <si>
    <t>Xylenes</t>
  </si>
  <si>
    <t>Confidence Level calculated with log-linear regression is?</t>
  </si>
  <si>
    <t>Geochemical Indicator?</t>
  </si>
  <si>
    <t>Sampling date #5</t>
  </si>
  <si>
    <t>Sampling date #6</t>
  </si>
  <si>
    <t>Plot #5:</t>
  </si>
  <si>
    <t>Plot #6:</t>
  </si>
  <si>
    <t>Standare Deviations</t>
  </si>
  <si>
    <t>Coefficient of Variation</t>
  </si>
  <si>
    <r>
      <t>D</t>
    </r>
    <r>
      <rPr>
        <vertAlign val="subscript"/>
        <sz val="9"/>
        <rFont val="Times New Roman"/>
        <family val="1"/>
      </rPr>
      <t>n</t>
    </r>
    <r>
      <rPr>
        <sz val="9"/>
        <rFont val="Times New Roman"/>
        <family val="1"/>
      </rPr>
      <t xml:space="preserve"> - D</t>
    </r>
    <r>
      <rPr>
        <vertAlign val="subscript"/>
        <sz val="9"/>
        <rFont val="Times New Roman"/>
        <family val="1"/>
      </rPr>
      <t>n-1</t>
    </r>
  </si>
  <si>
    <t xml:space="preserve">2. Groundwater Elevation: </t>
  </si>
  <si>
    <r>
      <t>5. Calculation of Point Decay Rate Constant (</t>
    </r>
    <r>
      <rPr>
        <b/>
        <i/>
        <sz val="11"/>
        <rFont val="Times New Roman"/>
        <family val="1"/>
      </rPr>
      <t>k</t>
    </r>
    <r>
      <rPr>
        <b/>
        <i/>
        <vertAlign val="subscript"/>
        <sz val="11"/>
        <rFont val="Times New Roman"/>
        <family val="1"/>
      </rPr>
      <t>point</t>
    </r>
    <r>
      <rPr>
        <b/>
        <sz val="11"/>
        <rFont val="Times New Roman"/>
        <family val="1"/>
      </rPr>
      <t>)</t>
    </r>
  </si>
  <si>
    <t>Calculation Results for</t>
  </si>
  <si>
    <t>temporal</t>
  </si>
  <si>
    <t>analysis</t>
  </si>
  <si>
    <t>Graphycal</t>
  </si>
  <si>
    <t>yr-1</t>
  </si>
  <si>
    <t>GW elv</t>
  </si>
  <si>
    <t>CL criteria</t>
  </si>
  <si>
    <t>CL criteria=</t>
  </si>
  <si>
    <t>sufficient data</t>
  </si>
  <si>
    <t>r?</t>
  </si>
  <si>
    <t>Confidence Level (Decision Criteria)?</t>
  </si>
  <si>
    <t>4. Statistical Inference on the Slope of the Log-Linear Regression Line with t-statistics</t>
  </si>
  <si>
    <t>Contaminant of Concern (unit is ug/L)</t>
  </si>
  <si>
    <t>Correlation Coefficient</t>
  </si>
  <si>
    <t>Number of data points</t>
  </si>
  <si>
    <r>
      <t xml:space="preserve">Slope: Point decay rate constant </t>
    </r>
    <r>
      <rPr>
        <b/>
        <i/>
        <sz val="10"/>
        <rFont val="Times New Roman"/>
        <family val="1"/>
      </rPr>
      <t>(k</t>
    </r>
    <r>
      <rPr>
        <b/>
        <i/>
        <vertAlign val="subscript"/>
        <sz val="10"/>
        <rFont val="Times New Roman"/>
        <family val="1"/>
      </rPr>
      <t>point</t>
    </r>
    <r>
      <rPr>
        <b/>
        <i/>
        <sz val="10"/>
        <rFont val="Times New Roman"/>
        <family val="1"/>
      </rPr>
      <t>)</t>
    </r>
  </si>
  <si>
    <r>
      <t>Slope: Point decay rate constant (</t>
    </r>
    <r>
      <rPr>
        <b/>
        <i/>
        <sz val="10"/>
        <rFont val="Times New Roman"/>
        <family val="1"/>
      </rPr>
      <t>k</t>
    </r>
    <r>
      <rPr>
        <b/>
        <i/>
        <vertAlign val="subscript"/>
        <sz val="10"/>
        <rFont val="Times New Roman"/>
        <family val="1"/>
      </rPr>
      <t>point</t>
    </r>
    <r>
      <rPr>
        <sz val="9"/>
        <rFont val="Times New Roman"/>
        <family val="1"/>
      </rPr>
      <t>), yr</t>
    </r>
    <r>
      <rPr>
        <vertAlign val="superscript"/>
        <sz val="9"/>
        <rFont val="Times New Roman"/>
        <family val="1"/>
      </rPr>
      <t>-1</t>
    </r>
  </si>
  <si>
    <r>
      <t xml:space="preserve">Half Life for </t>
    </r>
    <r>
      <rPr>
        <b/>
        <i/>
        <sz val="10"/>
        <rFont val="Times New Roman"/>
        <family val="1"/>
      </rPr>
      <t>k</t>
    </r>
    <r>
      <rPr>
        <b/>
        <i/>
        <vertAlign val="subscript"/>
        <sz val="10"/>
        <rFont val="Times New Roman"/>
        <family val="1"/>
      </rPr>
      <t>point</t>
    </r>
    <r>
      <rPr>
        <b/>
        <i/>
        <vertAlign val="subscript"/>
        <sz val="9"/>
        <rFont val="Times New Roman"/>
        <family val="1"/>
      </rPr>
      <t xml:space="preserve">, </t>
    </r>
    <r>
      <rPr>
        <sz val="9"/>
        <rFont val="Times New Roman"/>
        <family val="1"/>
      </rPr>
      <t>yr</t>
    </r>
  </si>
  <si>
    <r>
      <t xml:space="preserve">     Note: relationship of  "y/x </t>
    </r>
    <r>
      <rPr>
        <sz val="10"/>
        <rFont val="Symbol"/>
        <family val="1"/>
      </rPr>
      <t>£</t>
    </r>
    <r>
      <rPr>
        <sz val="10"/>
        <rFont val="Times New Roman"/>
        <family val="1"/>
      </rPr>
      <t xml:space="preserve"> 0.33" is preferred</t>
    </r>
  </si>
  <si>
    <r>
      <t>r</t>
    </r>
    <r>
      <rPr>
        <b/>
        <i/>
        <vertAlign val="superscript"/>
        <sz val="10"/>
        <rFont val="Times New Roman"/>
        <family val="1"/>
      </rPr>
      <t>2</t>
    </r>
  </si>
  <si>
    <t>Hazardous Substances (unit is ug/L)</t>
  </si>
  <si>
    <t>Demo NA site</t>
  </si>
  <si>
    <t>Module 2: Inputs: Enter Historical Ground Water Data</t>
  </si>
  <si>
    <t>Hazardous Substance</t>
  </si>
  <si>
    <t>Module 2: Graphical Presentation of Historical Ground Water Data: (Well to Well Analysis)</t>
  </si>
  <si>
    <t>3. Expressed Assimilative Capacity Calculation:  Utilization Factor (UF)</t>
  </si>
  <si>
    <t>Module1: Mann-Kendall Trend Test for Plume Stability (Non-parametric Statistical Test)</t>
  </si>
  <si>
    <t>Hazardous substance?</t>
  </si>
  <si>
    <t>Hazardous Substance?</t>
  </si>
  <si>
    <t>ABC Store</t>
  </si>
  <si>
    <t>Olympia, WA</t>
  </si>
  <si>
    <t>Naphthalene</t>
  </si>
  <si>
    <t>MW-12</t>
  </si>
  <si>
    <t>UG-1</t>
  </si>
  <si>
    <t>MW2</t>
  </si>
  <si>
    <t>MW4</t>
  </si>
  <si>
    <t>Module 1: Mann-Whitney U Trend Test for Plume Stability: Non-parametric Statistical Test</t>
  </si>
  <si>
    <t>2. Mann-Kendall Non-parametric Statistical Test Results</t>
  </si>
  <si>
    <t>Module 1: Upper-Tail Probabilities for the Null Distribution of Kendall's "S" Statistics</t>
  </si>
  <si>
    <t>Maximum Concentration</t>
  </si>
  <si>
    <t>2. Mann-Whitney U Non-parametric Statistical Test Results (@ 90% Confidence Level pre-determined)</t>
  </si>
  <si>
    <t>(Wilcoxon Rank Sum Test)</t>
  </si>
  <si>
    <r>
      <t xml:space="preserve">Redox Potential, </t>
    </r>
    <r>
      <rPr>
        <b/>
        <i/>
        <sz val="8.5"/>
        <rFont val="Times New Roman"/>
        <family val="1"/>
      </rPr>
      <t>E</t>
    </r>
    <r>
      <rPr>
        <b/>
        <i/>
        <vertAlign val="subscript"/>
        <sz val="8.5"/>
        <rFont val="Times New Roman"/>
        <family val="1"/>
      </rPr>
      <t>H</t>
    </r>
  </si>
  <si>
    <r>
      <t>Half Life for (</t>
    </r>
    <r>
      <rPr>
        <b/>
        <i/>
        <sz val="10"/>
        <rFont val="Times New Roman"/>
        <family val="1"/>
      </rPr>
      <t>k</t>
    </r>
    <r>
      <rPr>
        <b/>
        <i/>
        <vertAlign val="subscript"/>
        <sz val="10"/>
        <rFont val="Times New Roman"/>
        <family val="1"/>
      </rPr>
      <t>point</t>
    </r>
    <r>
      <rPr>
        <b/>
        <i/>
        <sz val="10"/>
        <rFont val="Times New Roman"/>
        <family val="1"/>
      </rPr>
      <t>)</t>
    </r>
  </si>
  <si>
    <t>Package A: Natural Attenuation Analysis Tool Package for Petroleum-Contaminated Ground Water</t>
  </si>
  <si>
    <t>Module 3: Assimilative Capacity and Geochemical Indicator Plot</t>
  </si>
  <si>
    <t>1. Monitoring Well information: Enter Average Contaminant Concentrations at the Monitoring Wells</t>
  </si>
  <si>
    <t>2. Enter Average Geochemical Indicator's Concentrations (direct measurement) at the Monitoring Wells.</t>
  </si>
  <si>
    <t>Abc site</t>
  </si>
  <si>
    <t>1234 olympia WA</t>
  </si>
  <si>
    <t xml:space="preserve">Demo case </t>
  </si>
  <si>
    <t>Gas Spill</t>
  </si>
  <si>
    <t>Parsippany, NJ;</t>
  </si>
  <si>
    <t>Gasoline Spill site; Table 7.2 of USEPA (2005)</t>
  </si>
  <si>
    <t>MW-11</t>
  </si>
  <si>
    <t>Predetermined  confidence level: 2-tailes</t>
  </si>
  <si>
    <t>kpiont (boundary)</t>
  </si>
  <si>
    <t>1/2 life (avg)</t>
  </si>
  <si>
    <t>MW-1</t>
  </si>
  <si>
    <t>MW-3</t>
  </si>
  <si>
    <t>MW-4</t>
  </si>
  <si>
    <t>MW-5</t>
  </si>
  <si>
    <t>#17</t>
  </si>
  <si>
    <t>#18</t>
  </si>
  <si>
    <t>#19</t>
  </si>
  <si>
    <t>#20</t>
  </si>
  <si>
    <t>ABC store</t>
  </si>
  <si>
    <t>Gasoline site</t>
  </si>
  <si>
    <t>MW-20</t>
  </si>
  <si>
    <t>Sufficient evidence to support that the slope of the regression line is significantly different from zero?</t>
  </si>
  <si>
    <t>Note:  1. CL : Confidence Level; UD= Undetermined</t>
  </si>
  <si>
    <t xml:space="preserve"> @50% CL</t>
  </si>
  <si>
    <t>B.1 Average conc predicted (@50% CL)</t>
  </si>
  <si>
    <r>
      <t>A.1 Average (@50% CL</t>
    </r>
    <r>
      <rPr>
        <vertAlign val="superscript"/>
        <sz val="10"/>
        <rFont val="Times New Roman"/>
        <family val="1"/>
      </rPr>
      <t>1</t>
    </r>
    <r>
      <rPr>
        <sz val="10"/>
        <rFont val="Times New Roman"/>
        <family val="1"/>
      </rPr>
      <t xml:space="preserve"> best-fitting values)</t>
    </r>
  </si>
  <si>
    <t>One-tailed Confidence Level calculated, %</t>
  </si>
  <si>
    <t>Module 2: Temporal Analysis: Concentration of contaminant vs. time (Regression Analysis at each well)</t>
  </si>
  <si>
    <t>July 2005; Version 1.0: Package A_NAToolPetro10.xls - compatible with MS Excel 2007</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</si>
</sst>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E+00"/>
    <numFmt numFmtId="167" formatCode="0.00000"/>
    <numFmt numFmtId="168" formatCode="0.0"/>
    <numFmt numFmtId="169" formatCode="0.0000E+00"/>
    <numFmt numFmtId="170" formatCode="0.0%"/>
    <numFmt numFmtId="171" formatCode="0.0000%"/>
    <numFmt numFmtId="172" formatCode="0.00000%"/>
    <numFmt numFmtId="173" formatCode="m/d/yy;@"/>
    <numFmt numFmtId="174" formatCode="[$-409]d\-mmm\-yy;@"/>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0.E+00"/>
    <numFmt numFmtId="182" formatCode="0.000000"/>
    <numFmt numFmtId="183" formatCode="0.0000000"/>
    <numFmt numFmtId="184" formatCode="0.00000000"/>
    <numFmt numFmtId="185" formatCode="#,##0.000"/>
    <numFmt numFmtId="186" formatCode="#,##0.0"/>
    <numFmt numFmtId="187" formatCode="0.0E+00"/>
    <numFmt numFmtId="188" formatCode="0E+00"/>
    <numFmt numFmtId="189" formatCode=".0##"/>
    <numFmt numFmtId="190" formatCode="0\ %;\(0\ %\)"/>
    <numFmt numFmtId="191" formatCode="0.0E+0"/>
    <numFmt numFmtId="192" formatCode="\+0.0;\-0.0"/>
    <numFmt numFmtId="193" formatCode="0.00000E+00"/>
    <numFmt numFmtId="194" formatCode="0.00E+0"/>
    <numFmt numFmtId="195" formatCode="0.000E+0"/>
    <numFmt numFmtId="196" formatCode="#,##0.0_);[Red]\(#,##0.0\)"/>
    <numFmt numFmtId="197" formatCode="#,##0.000_);[Red]\(#,##0.000\)"/>
    <numFmt numFmtId="198" formatCode="[$-409]mmmm\ d\,\ yyyy;@"/>
    <numFmt numFmtId="199" formatCode="0.000000%"/>
    <numFmt numFmtId="200" formatCode="mmm\-yyyy"/>
    <numFmt numFmtId="201" formatCode="[$-409]h:mm:ss\ AM/PM"/>
  </numFmts>
  <fonts count="168">
    <font>
      <sz val="10"/>
      <name val="Times New Roman"/>
      <family val="1"/>
    </font>
    <font>
      <b/>
      <sz val="10"/>
      <name val="Arial"/>
      <family val="0"/>
    </font>
    <font>
      <i/>
      <sz val="10"/>
      <name val="Arial"/>
      <family val="0"/>
    </font>
    <font>
      <b/>
      <i/>
      <sz val="10"/>
      <name val="Arial"/>
      <family val="0"/>
    </font>
    <font>
      <sz val="10"/>
      <name val="Arial"/>
      <family val="2"/>
    </font>
    <font>
      <sz val="8"/>
      <name val="Arial"/>
      <family val="2"/>
    </font>
    <font>
      <sz val="12"/>
      <name val="Times New Roman"/>
      <family val="1"/>
    </font>
    <font>
      <b/>
      <sz val="10"/>
      <name val="Times New Roman"/>
      <family val="1"/>
    </font>
    <font>
      <sz val="8"/>
      <name val="Times New Roman"/>
      <family val="1"/>
    </font>
    <font>
      <i/>
      <sz val="10"/>
      <name val="Times New Roman"/>
      <family val="1"/>
    </font>
    <font>
      <b/>
      <sz val="12"/>
      <name val="Times New Roman"/>
      <family val="1"/>
    </font>
    <font>
      <sz val="12"/>
      <name val="Helv"/>
      <family val="0"/>
    </font>
    <font>
      <b/>
      <i/>
      <sz val="14"/>
      <name val="Times New Roman"/>
      <family val="1"/>
    </font>
    <font>
      <b/>
      <sz val="18"/>
      <name val="Times New Roman"/>
      <family val="1"/>
    </font>
    <font>
      <sz val="9"/>
      <name val="Times New Roman"/>
      <family val="1"/>
    </font>
    <font>
      <sz val="10"/>
      <name val="Helv"/>
      <family val="0"/>
    </font>
    <font>
      <b/>
      <i/>
      <sz val="10"/>
      <name val="Times New Roman"/>
      <family val="1"/>
    </font>
    <font>
      <b/>
      <sz val="10"/>
      <color indexed="10"/>
      <name val="Times New Roman"/>
      <family val="1"/>
    </font>
    <font>
      <b/>
      <sz val="12"/>
      <color indexed="20"/>
      <name val="Times New Roman"/>
      <family val="1"/>
    </font>
    <font>
      <vertAlign val="subscript"/>
      <sz val="10"/>
      <name val="Times New Roman"/>
      <family val="1"/>
    </font>
    <font>
      <vertAlign val="superscript"/>
      <sz val="10"/>
      <name val="Times New Roman"/>
      <family val="1"/>
    </font>
    <font>
      <b/>
      <sz val="16"/>
      <name val="Times New Roman"/>
      <family val="1"/>
    </font>
    <font>
      <b/>
      <sz val="14"/>
      <name val="Times New Roman"/>
      <family val="1"/>
    </font>
    <font>
      <b/>
      <sz val="11"/>
      <name val="Times New Roman"/>
      <family val="1"/>
    </font>
    <font>
      <u val="single"/>
      <sz val="10"/>
      <name val="Times New Roman"/>
      <family val="1"/>
    </font>
    <font>
      <sz val="11"/>
      <name val="Tahoma"/>
      <family val="2"/>
    </font>
    <font>
      <b/>
      <sz val="11"/>
      <name val="Tahoma"/>
      <family val="2"/>
    </font>
    <font>
      <b/>
      <u val="single"/>
      <sz val="10"/>
      <name val="Times New Roman"/>
      <family val="1"/>
    </font>
    <font>
      <vertAlign val="subscript"/>
      <sz val="12"/>
      <name val="Times New Roman"/>
      <family val="1"/>
    </font>
    <font>
      <b/>
      <u val="single"/>
      <sz val="16"/>
      <name val="Times New Roman"/>
      <family val="1"/>
    </font>
    <font>
      <i/>
      <u val="single"/>
      <sz val="10"/>
      <name val="Times New Roman"/>
      <family val="1"/>
    </font>
    <font>
      <u val="single"/>
      <sz val="7.5"/>
      <color indexed="12"/>
      <name val="Arial"/>
      <family val="2"/>
    </font>
    <font>
      <u val="single"/>
      <sz val="7.5"/>
      <color indexed="36"/>
      <name val="Arial"/>
      <family val="2"/>
    </font>
    <font>
      <i/>
      <sz val="9"/>
      <color indexed="52"/>
      <name val="Arial"/>
      <family val="2"/>
    </font>
    <font>
      <b/>
      <i/>
      <sz val="8"/>
      <name val="Times New Roman"/>
      <family val="1"/>
    </font>
    <font>
      <u val="single"/>
      <sz val="8"/>
      <name val="Times New Roman"/>
      <family val="1"/>
    </font>
    <font>
      <b/>
      <vertAlign val="subscript"/>
      <sz val="12"/>
      <name val="Times New Roman"/>
      <family val="1"/>
    </font>
    <font>
      <b/>
      <vertAlign val="superscript"/>
      <sz val="12"/>
      <name val="Times New Roman"/>
      <family val="1"/>
    </font>
    <font>
      <sz val="10"/>
      <color indexed="41"/>
      <name val="Arial"/>
      <family val="2"/>
    </font>
    <font>
      <vertAlign val="superscript"/>
      <sz val="12"/>
      <name val="Times New Roman"/>
      <family val="1"/>
    </font>
    <font>
      <sz val="12"/>
      <name val="Symbol"/>
      <family val="1"/>
    </font>
    <font>
      <b/>
      <sz val="12"/>
      <name val="Symbol"/>
      <family val="1"/>
    </font>
    <font>
      <b/>
      <vertAlign val="subscript"/>
      <sz val="14"/>
      <name val="Times New Roman"/>
      <family val="1"/>
    </font>
    <font>
      <i/>
      <sz val="12"/>
      <name val="Arial"/>
      <family val="2"/>
    </font>
    <font>
      <sz val="14"/>
      <name val="Arial"/>
      <family val="2"/>
    </font>
    <font>
      <b/>
      <sz val="14"/>
      <name val="Arial"/>
      <family val="2"/>
    </font>
    <font>
      <vertAlign val="superscript"/>
      <sz val="10"/>
      <color indexed="10"/>
      <name val="Times New Roman"/>
      <family val="1"/>
    </font>
    <font>
      <sz val="10"/>
      <color indexed="10"/>
      <name val="Times New Roman"/>
      <family val="1"/>
    </font>
    <font>
      <vertAlign val="subscript"/>
      <sz val="10"/>
      <color indexed="10"/>
      <name val="Times New Roman"/>
      <family val="1"/>
    </font>
    <font>
      <b/>
      <i/>
      <vertAlign val="subscript"/>
      <sz val="14"/>
      <name val="Times New Roman"/>
      <family val="1"/>
    </font>
    <font>
      <b/>
      <i/>
      <sz val="14"/>
      <name val="Symbol"/>
      <family val="1"/>
    </font>
    <font>
      <sz val="9"/>
      <color indexed="10"/>
      <name val="Times New Roman"/>
      <family val="1"/>
    </font>
    <font>
      <sz val="10"/>
      <color indexed="8"/>
      <name val="Times New Roman"/>
      <family val="1"/>
    </font>
    <font>
      <sz val="9"/>
      <color indexed="8"/>
      <name val="Times New Roman"/>
      <family val="1"/>
    </font>
    <font>
      <b/>
      <sz val="20"/>
      <color indexed="8"/>
      <name val="Times New Roman"/>
      <family val="1"/>
    </font>
    <font>
      <sz val="10"/>
      <color indexed="18"/>
      <name val="Times New Roman"/>
      <family val="1"/>
    </font>
    <font>
      <sz val="10"/>
      <color indexed="12"/>
      <name val="Times New Roman"/>
      <family val="1"/>
    </font>
    <font>
      <sz val="12"/>
      <name val="Tahoma"/>
      <family val="2"/>
    </font>
    <font>
      <b/>
      <sz val="12"/>
      <name val="Arial"/>
      <family val="2"/>
    </font>
    <font>
      <b/>
      <i/>
      <sz val="8"/>
      <color indexed="10"/>
      <name val="Arial"/>
      <family val="2"/>
    </font>
    <font>
      <b/>
      <sz val="10"/>
      <name val="Palatino"/>
      <family val="1"/>
    </font>
    <font>
      <b/>
      <u val="single"/>
      <sz val="16"/>
      <name val="Palatino"/>
      <family val="1"/>
    </font>
    <font>
      <i/>
      <sz val="8"/>
      <name val="Arial"/>
      <family val="2"/>
    </font>
    <font>
      <b/>
      <sz val="8"/>
      <name val="Times New Roman"/>
      <family val="1"/>
    </font>
    <font>
      <b/>
      <sz val="13"/>
      <name val="Times New Roman"/>
      <family val="1"/>
    </font>
    <font>
      <i/>
      <sz val="9"/>
      <name val="Times New Roman"/>
      <family val="1"/>
    </font>
    <font>
      <sz val="9"/>
      <color indexed="63"/>
      <name val="Times New Roman"/>
      <family val="1"/>
    </font>
    <font>
      <sz val="8"/>
      <name val="Tahoma"/>
      <family val="2"/>
    </font>
    <font>
      <b/>
      <sz val="8"/>
      <name val="Tahoma"/>
      <family val="2"/>
    </font>
    <font>
      <b/>
      <sz val="9"/>
      <name val="Times New Roman"/>
      <family val="1"/>
    </font>
    <font>
      <b/>
      <i/>
      <u val="single"/>
      <sz val="10"/>
      <name val="Times New Roman"/>
      <family val="1"/>
    </font>
    <font>
      <b/>
      <sz val="10"/>
      <name val="Helvetica"/>
      <family val="2"/>
    </font>
    <font>
      <sz val="7"/>
      <name val="Arial"/>
      <family val="2"/>
    </font>
    <font>
      <i/>
      <sz val="8"/>
      <color indexed="10"/>
      <name val="Times New Roman"/>
      <family val="1"/>
    </font>
    <font>
      <sz val="9"/>
      <color indexed="39"/>
      <name val="Times New Roman"/>
      <family val="1"/>
    </font>
    <font>
      <sz val="7.5"/>
      <name val="Times New Roman"/>
      <family val="1"/>
    </font>
    <font>
      <b/>
      <sz val="11"/>
      <color indexed="20"/>
      <name val="Times New Roman"/>
      <family val="1"/>
    </font>
    <font>
      <b/>
      <sz val="9"/>
      <color indexed="20"/>
      <name val="Times New Roman"/>
      <family val="1"/>
    </font>
    <font>
      <sz val="8.5"/>
      <name val="Times New Roman"/>
      <family val="1"/>
    </font>
    <font>
      <b/>
      <sz val="8.5"/>
      <name val="Times New Roman"/>
      <family val="1"/>
    </font>
    <font>
      <b/>
      <sz val="9.5"/>
      <name val="Times New Roman"/>
      <family val="1"/>
    </font>
    <font>
      <vertAlign val="subscript"/>
      <sz val="9"/>
      <name val="Times New Roman"/>
      <family val="1"/>
    </font>
    <font>
      <i/>
      <sz val="9.5"/>
      <name val="Times New Roman"/>
      <family val="1"/>
    </font>
    <font>
      <b/>
      <i/>
      <sz val="11"/>
      <name val="Times New Roman"/>
      <family val="1"/>
    </font>
    <font>
      <b/>
      <i/>
      <vertAlign val="subscript"/>
      <sz val="11"/>
      <name val="Times New Roman"/>
      <family val="1"/>
    </font>
    <font>
      <sz val="9"/>
      <name val="Arial"/>
      <family val="2"/>
    </font>
    <font>
      <b/>
      <sz val="11"/>
      <color indexed="52"/>
      <name val="Palatino"/>
      <family val="1"/>
    </font>
    <font>
      <sz val="11"/>
      <color indexed="52"/>
      <name val="Arial"/>
      <family val="2"/>
    </font>
    <font>
      <sz val="8"/>
      <color indexed="10"/>
      <name val="Times New Roman"/>
      <family val="1"/>
    </font>
    <font>
      <b/>
      <i/>
      <sz val="9"/>
      <name val="Times New Roman"/>
      <family val="1"/>
    </font>
    <font>
      <i/>
      <sz val="8.5"/>
      <name val="Times New Roman"/>
      <family val="1"/>
    </font>
    <font>
      <b/>
      <sz val="8"/>
      <color indexed="10"/>
      <name val="Times New Roman"/>
      <family val="1"/>
    </font>
    <font>
      <sz val="10"/>
      <name val="Symbol"/>
      <family val="1"/>
    </font>
    <font>
      <b/>
      <i/>
      <u val="single"/>
      <sz val="12"/>
      <name val="Times New Roman"/>
      <family val="1"/>
    </font>
    <font>
      <b/>
      <i/>
      <vertAlign val="subscript"/>
      <sz val="10"/>
      <name val="Times New Roman"/>
      <family val="1"/>
    </font>
    <font>
      <vertAlign val="superscript"/>
      <sz val="9"/>
      <name val="Times New Roman"/>
      <family val="1"/>
    </font>
    <font>
      <b/>
      <i/>
      <vertAlign val="subscript"/>
      <sz val="9"/>
      <name val="Times New Roman"/>
      <family val="1"/>
    </font>
    <font>
      <b/>
      <i/>
      <vertAlign val="superscript"/>
      <sz val="10"/>
      <name val="Times New Roman"/>
      <family val="1"/>
    </font>
    <font>
      <b/>
      <i/>
      <sz val="8.5"/>
      <name val="Times New Roman"/>
      <family val="1"/>
    </font>
    <font>
      <b/>
      <i/>
      <vertAlign val="subscript"/>
      <sz val="8.5"/>
      <name val="Times New Roman"/>
      <family val="1"/>
    </font>
    <font>
      <b/>
      <i/>
      <sz val="12"/>
      <name val="Times New Roman"/>
      <family val="1"/>
    </font>
    <font>
      <sz val="8"/>
      <color indexed="8"/>
      <name val="Arial"/>
      <family val="2"/>
    </font>
    <font>
      <sz val="8"/>
      <color indexed="8"/>
      <name val="Times New Roman"/>
      <family val="1"/>
    </font>
    <font>
      <sz val="6"/>
      <color indexed="8"/>
      <name val="Times New Roman"/>
      <family val="1"/>
    </font>
    <font>
      <b/>
      <sz val="8"/>
      <color indexed="8"/>
      <name val="Times New Roman"/>
      <family val="1"/>
    </font>
    <font>
      <b/>
      <sz val="7"/>
      <color indexed="8"/>
      <name val="Times New Roman"/>
      <family val="1"/>
    </font>
    <font>
      <sz val="7.35"/>
      <color indexed="8"/>
      <name val="Times New Roman"/>
      <family val="1"/>
    </font>
    <font>
      <sz val="8.75"/>
      <color indexed="8"/>
      <name val="Times New Roman"/>
      <family val="1"/>
    </font>
    <font>
      <sz val="10.5"/>
      <color indexed="8"/>
      <name val="Arial"/>
      <family val="2"/>
    </font>
    <font>
      <sz val="9.25"/>
      <color indexed="8"/>
      <name val="Times New Roman"/>
      <family val="1"/>
    </font>
    <font>
      <sz val="6.4"/>
      <color indexed="8"/>
      <name val="Arial"/>
      <family val="2"/>
    </font>
    <font>
      <vertAlign val="superscript"/>
      <sz val="8"/>
      <color indexed="8"/>
      <name val="Times New Roman"/>
      <family val="1"/>
    </font>
    <font>
      <sz val="5.75"/>
      <color indexed="8"/>
      <name val="Times New Roman"/>
      <family val="1"/>
    </font>
    <font>
      <vertAlign val="superscript"/>
      <sz val="5.75"/>
      <color indexed="8"/>
      <name val="Times New Roman"/>
      <family val="1"/>
    </font>
    <font>
      <sz val="10.5"/>
      <color indexed="8"/>
      <name val="Times New Roman"/>
      <family val="1"/>
    </font>
    <font>
      <sz val="10.75"/>
      <color indexed="8"/>
      <name val="Times New Roman"/>
      <family val="1"/>
    </font>
    <font>
      <sz val="9.2"/>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7.5"/>
      <color indexed="8"/>
      <name val="Times New Roman"/>
      <family val="1"/>
    </font>
    <font>
      <sz val="7.5"/>
      <color indexed="8"/>
      <name val="Times New Roman"/>
      <family val="1"/>
    </font>
    <font>
      <i/>
      <sz val="11.5"/>
      <color indexed="8"/>
      <name val="Times New Roman"/>
      <family val="1"/>
    </font>
    <font>
      <b/>
      <sz val="10"/>
      <color indexed="8"/>
      <name val="Times New Roman"/>
      <family val="1"/>
    </font>
    <font>
      <b/>
      <sz val="8.75"/>
      <color indexed="8"/>
      <name val="Times New Roman"/>
      <family val="1"/>
    </font>
    <font>
      <sz val="7"/>
      <color indexed="8"/>
      <name val="Geneva"/>
      <family val="0"/>
    </font>
    <font>
      <b/>
      <i/>
      <sz val="8"/>
      <color indexed="8"/>
      <name val="Geneva"/>
      <family val="0"/>
    </font>
    <font>
      <b/>
      <sz val="11.5"/>
      <color indexed="8"/>
      <name val="Arial"/>
      <family val="2"/>
    </font>
    <font>
      <b/>
      <sz val="11"/>
      <color indexed="8"/>
      <name val="Arial"/>
      <family val="2"/>
    </font>
    <font>
      <b/>
      <sz val="9"/>
      <color indexed="8"/>
      <name val="Arial"/>
      <family val="2"/>
    </font>
    <font>
      <b/>
      <sz val="8"/>
      <color indexed="8"/>
      <name val="Arial"/>
      <family val="2"/>
    </font>
    <font>
      <b/>
      <sz val="6.75"/>
      <color indexed="8"/>
      <name val="Arial"/>
      <family val="2"/>
    </font>
    <font>
      <b/>
      <sz val="8.25"/>
      <color indexed="8"/>
      <name val="Arial"/>
      <family val="2"/>
    </font>
    <font>
      <b/>
      <sz val="11"/>
      <color indexed="8"/>
      <name val="Times New Roman"/>
      <family val="1"/>
    </font>
    <font>
      <b/>
      <sz val="6.75"/>
      <color indexed="8"/>
      <name val="Times New Roman"/>
      <family val="1"/>
    </font>
    <font>
      <b/>
      <sz val="10.5"/>
      <color indexed="8"/>
      <name val="Times New Roman"/>
      <family val="1"/>
    </font>
    <font>
      <b/>
      <sz val="11.25"/>
      <color indexed="8"/>
      <name val="Times New Roman"/>
      <family val="1"/>
    </font>
    <font>
      <sz val="6.7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indexed="44"/>
        <bgColor indexed="64"/>
      </patternFill>
    </fill>
  </fills>
  <borders count="2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style="medium"/>
    </border>
    <border>
      <left>
        <color indexed="63"/>
      </left>
      <right style="medium"/>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color indexed="63"/>
      </left>
      <right>
        <color indexed="63"/>
      </right>
      <top>
        <color indexed="63"/>
      </top>
      <bottom style="double"/>
    </border>
    <border>
      <left style="thin"/>
      <right>
        <color indexed="63"/>
      </right>
      <top style="thin"/>
      <bottom style="double"/>
    </border>
    <border>
      <left style="thin"/>
      <right style="thin"/>
      <top style="thin"/>
      <bottom style="double"/>
    </border>
    <border>
      <left>
        <color indexed="63"/>
      </left>
      <right style="thin"/>
      <top style="thin"/>
      <bottom style="double"/>
    </border>
    <border>
      <left style="thin"/>
      <right style="thin"/>
      <top style="double"/>
      <bottom style="thin"/>
    </border>
    <border>
      <left>
        <color indexed="63"/>
      </left>
      <right style="thin"/>
      <top style="double"/>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style="medium"/>
      <top style="hair"/>
      <bottom style="medium"/>
    </border>
    <border>
      <left style="medium"/>
      <right style="hair"/>
      <top style="double"/>
      <bottom style="medium"/>
    </border>
    <border>
      <left style="hair"/>
      <right style="hair"/>
      <top style="double"/>
      <bottom style="medium"/>
    </border>
    <border>
      <left style="hair"/>
      <right style="medium"/>
      <top style="double"/>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hair"/>
      <right style="hair"/>
      <top style="hair"/>
      <bottom style="medium"/>
    </border>
    <border>
      <left>
        <color indexed="63"/>
      </left>
      <right style="hair"/>
      <top style="hair"/>
      <bottom style="hair"/>
    </border>
    <border>
      <left>
        <color indexed="63"/>
      </left>
      <right style="hair"/>
      <top style="hair"/>
      <bottom style="medium"/>
    </border>
    <border>
      <left>
        <color indexed="63"/>
      </left>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thin"/>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style="thin"/>
      <right style="medium"/>
      <top style="medium"/>
      <bottom>
        <color indexed="63"/>
      </bottom>
    </border>
    <border>
      <left style="medium"/>
      <right style="hair"/>
      <top style="hair"/>
      <bottom style="medium"/>
    </border>
    <border>
      <left>
        <color indexed="63"/>
      </left>
      <right>
        <color indexed="63"/>
      </right>
      <top style="hair"/>
      <bottom style="hair"/>
    </border>
    <border>
      <left>
        <color indexed="63"/>
      </left>
      <right>
        <color indexed="63"/>
      </right>
      <top style="hair"/>
      <bottom style="double"/>
    </border>
    <border>
      <left>
        <color indexed="63"/>
      </left>
      <right style="hair"/>
      <top style="hair"/>
      <bottom style="double"/>
    </border>
    <border>
      <left style="hair"/>
      <right style="hair"/>
      <top>
        <color indexed="63"/>
      </top>
      <bottom>
        <color indexed="63"/>
      </bottom>
    </border>
    <border>
      <left style="medium"/>
      <right>
        <color indexed="63"/>
      </right>
      <top style="medium"/>
      <bottom style="hair"/>
    </border>
    <border>
      <left>
        <color indexed="63"/>
      </left>
      <right>
        <color indexed="63"/>
      </right>
      <top style="medium"/>
      <bottom style="hair"/>
    </border>
    <border>
      <left style="medium"/>
      <right>
        <color indexed="63"/>
      </right>
      <top style="hair"/>
      <bottom style="hair"/>
    </border>
    <border>
      <left>
        <color indexed="63"/>
      </left>
      <right>
        <color indexed="63"/>
      </right>
      <top style="hair"/>
      <bottom style="thin"/>
    </border>
    <border>
      <left style="medium"/>
      <right>
        <color indexed="63"/>
      </right>
      <top style="hair"/>
      <bottom style="medium"/>
    </border>
    <border>
      <left>
        <color indexed="63"/>
      </left>
      <right>
        <color indexed="63"/>
      </right>
      <top style="hair"/>
      <bottom style="medium"/>
    </border>
    <border>
      <left>
        <color indexed="63"/>
      </left>
      <right>
        <color indexed="63"/>
      </right>
      <top style="thin"/>
      <bottom style="double"/>
    </border>
    <border>
      <left style="medium"/>
      <right style="hair"/>
      <top>
        <color indexed="63"/>
      </top>
      <bottom>
        <color indexed="63"/>
      </bottom>
    </border>
    <border>
      <left>
        <color indexed="63"/>
      </left>
      <right style="medium"/>
      <top style="hair"/>
      <bottom style="hair"/>
    </border>
    <border>
      <left style="medium"/>
      <right>
        <color indexed="63"/>
      </right>
      <top style="hair"/>
      <bottom style="thin"/>
    </border>
    <border>
      <left style="medium"/>
      <right style="hair"/>
      <top style="hair"/>
      <bottom style="thin"/>
    </border>
    <border>
      <left style="hair"/>
      <right style="hair"/>
      <top style="hair"/>
      <bottom style="thin"/>
    </border>
    <border>
      <left>
        <color indexed="63"/>
      </left>
      <right style="medium"/>
      <top style="hair"/>
      <bottom style="thin"/>
    </border>
    <border>
      <left style="medium"/>
      <right style="hair"/>
      <top>
        <color indexed="63"/>
      </top>
      <bottom style="medium"/>
    </border>
    <border>
      <left style="hair"/>
      <right style="hair"/>
      <top>
        <color indexed="63"/>
      </top>
      <bottom style="medium"/>
    </border>
    <border>
      <left>
        <color indexed="63"/>
      </left>
      <right style="medium"/>
      <top style="medium"/>
      <bottom style="hair"/>
    </border>
    <border>
      <left style="medium"/>
      <right style="thin"/>
      <top style="thin"/>
      <bottom style="thin"/>
    </border>
    <border>
      <left style="medium"/>
      <right style="medium"/>
      <top style="medium"/>
      <bottom>
        <color indexed="63"/>
      </bottom>
    </border>
    <border>
      <left style="medium"/>
      <right style="medium"/>
      <top>
        <color indexed="63"/>
      </top>
      <bottom>
        <color indexed="63"/>
      </bottom>
    </border>
    <border>
      <left>
        <color indexed="63"/>
      </left>
      <right style="hair"/>
      <top style="medium"/>
      <bottom style="hair"/>
    </border>
    <border>
      <left>
        <color indexed="63"/>
      </left>
      <right style="medium"/>
      <top style="hair"/>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hair"/>
      <right>
        <color indexed="63"/>
      </right>
      <top style="hair"/>
      <bottom style="hair"/>
    </border>
    <border>
      <left style="hair"/>
      <right>
        <color indexed="63"/>
      </right>
      <top style="hair"/>
      <bottom style="double"/>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color indexed="63"/>
      </right>
      <top style="medium"/>
      <bottom style="hair"/>
    </border>
    <border>
      <left style="thin"/>
      <right>
        <color indexed="63"/>
      </right>
      <top style="thin"/>
      <bottom style="medium"/>
    </border>
    <border>
      <left>
        <color indexed="63"/>
      </left>
      <right>
        <color indexed="63"/>
      </right>
      <top style="thin"/>
      <bottom style="medium"/>
    </border>
    <border>
      <left>
        <color indexed="63"/>
      </left>
      <right>
        <color indexed="63"/>
      </right>
      <top>
        <color indexed="63"/>
      </top>
      <bottom style="hair"/>
    </border>
    <border>
      <left>
        <color indexed="63"/>
      </left>
      <right style="medium"/>
      <top style="thin"/>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hair"/>
      <top style="medium"/>
      <bottom style="double"/>
    </border>
    <border>
      <left style="medium"/>
      <right>
        <color indexed="63"/>
      </right>
      <top>
        <color indexed="63"/>
      </top>
      <bottom style="hair"/>
    </border>
    <border>
      <left style="medium"/>
      <right>
        <color indexed="63"/>
      </right>
      <top style="hair"/>
      <bottom style="double"/>
    </border>
    <border>
      <left style="hair"/>
      <right style="hair"/>
      <top style="hair"/>
      <bottom style="double"/>
    </border>
    <border>
      <left style="hair"/>
      <right style="medium"/>
      <top style="hair"/>
      <bottom style="double"/>
    </border>
    <border>
      <left style="hair"/>
      <right style="medium"/>
      <top>
        <color indexed="63"/>
      </top>
      <bottom style="medium"/>
    </border>
    <border>
      <left style="medium"/>
      <right style="medium"/>
      <top>
        <color indexed="63"/>
      </top>
      <bottom style="medium"/>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style="hair"/>
    </border>
    <border>
      <left style="thin"/>
      <right style="hair"/>
      <top style="hair"/>
      <bottom style="thin"/>
    </border>
    <border>
      <left style="hair"/>
      <right style="medium"/>
      <top style="hair"/>
      <bottom style="thin"/>
    </border>
    <border>
      <left style="medium"/>
      <right style="medium"/>
      <top style="medium"/>
      <bottom style="double"/>
    </border>
    <border>
      <left style="medium"/>
      <right style="hair"/>
      <top style="hair"/>
      <bottom style="double"/>
    </border>
    <border>
      <left style="medium"/>
      <right style="hair"/>
      <top>
        <color indexed="63"/>
      </top>
      <bottom style="hair"/>
    </border>
    <border>
      <left>
        <color indexed="63"/>
      </left>
      <right style="medium"/>
      <top style="hair"/>
      <bottom style="double"/>
    </border>
    <border>
      <left style="medium"/>
      <right style="hair"/>
      <top style="double"/>
      <bottom style="hair"/>
    </border>
    <border>
      <left style="hair"/>
      <right style="hair"/>
      <top style="double"/>
      <bottom style="hair"/>
    </border>
    <border>
      <left style="hair"/>
      <right style="medium"/>
      <top style="double"/>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color indexed="63"/>
      </left>
      <right style="thin"/>
      <top style="medium"/>
      <bottom style="thin"/>
    </border>
    <border>
      <left style="medium"/>
      <right style="medium"/>
      <top style="thin"/>
      <bottom style="medium"/>
    </border>
    <border>
      <left>
        <color indexed="63"/>
      </left>
      <right style="thin"/>
      <top style="thin"/>
      <bottom style="medium"/>
    </border>
    <border>
      <left style="hair"/>
      <right style="medium"/>
      <top>
        <color indexed="63"/>
      </top>
      <bottom>
        <color indexed="63"/>
      </bottom>
    </border>
    <border>
      <left>
        <color indexed="63"/>
      </left>
      <right style="medium"/>
      <top>
        <color indexed="63"/>
      </top>
      <bottom style="hair"/>
    </border>
    <border>
      <left>
        <color indexed="63"/>
      </left>
      <right style="hair"/>
      <top style="medium"/>
      <bottom style="medium"/>
    </border>
    <border>
      <left style="medium"/>
      <right>
        <color indexed="63"/>
      </right>
      <top style="thin"/>
      <bottom style="medium"/>
    </border>
    <border>
      <left style="medium"/>
      <right>
        <color indexed="63"/>
      </right>
      <top style="thin"/>
      <bottom style="double"/>
    </border>
    <border>
      <left style="medium"/>
      <right>
        <color indexed="63"/>
      </right>
      <top style="double"/>
      <bottom style="hair"/>
    </border>
    <border>
      <left>
        <color indexed="63"/>
      </left>
      <right>
        <color indexed="63"/>
      </right>
      <top style="double"/>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style="hair"/>
      <top>
        <color indexed="63"/>
      </top>
      <bottom>
        <color indexed="63"/>
      </bottom>
    </border>
    <border>
      <left>
        <color indexed="63"/>
      </left>
      <right style="hair"/>
      <top style="hair"/>
      <bottom style="thin"/>
    </border>
    <border>
      <left style="hair"/>
      <right style="thin"/>
      <top style="thin"/>
      <bottom style="double"/>
    </border>
    <border>
      <left style="thin"/>
      <right style="hair"/>
      <top style="thin"/>
      <bottom style="double"/>
    </border>
    <border>
      <left style="hair"/>
      <right style="hair"/>
      <top style="thin"/>
      <bottom style="double"/>
    </border>
    <border>
      <left style="hair"/>
      <right style="medium"/>
      <top style="thin"/>
      <bottom style="double"/>
    </border>
    <border>
      <left style="hair"/>
      <right style="thin"/>
      <top style="double"/>
      <bottom style="hair"/>
    </border>
    <border>
      <left style="hair"/>
      <right style="thin"/>
      <top style="hair"/>
      <bottom style="hair"/>
    </border>
    <border>
      <left style="hair"/>
      <right style="thin"/>
      <top style="hair"/>
      <bottom style="medium"/>
    </border>
    <border>
      <left>
        <color indexed="63"/>
      </left>
      <right style="thin"/>
      <top style="medium"/>
      <bottom style="medium"/>
    </border>
    <border>
      <left>
        <color indexed="63"/>
      </left>
      <right style="dashed"/>
      <top>
        <color indexed="63"/>
      </top>
      <bottom style="hair"/>
    </border>
    <border>
      <left style="medium"/>
      <right style="hair"/>
      <top style="thin"/>
      <bottom style="hair"/>
    </border>
    <border>
      <left style="thin"/>
      <right style="hair"/>
      <top style="double"/>
      <bottom style="hair"/>
    </border>
    <border>
      <left style="thin"/>
      <right style="hair"/>
      <top style="hair"/>
      <bottom style="medium"/>
    </border>
    <border>
      <left style="thin"/>
      <right style="hair"/>
      <top style="medium"/>
      <bottom style="medium"/>
    </border>
    <border>
      <left>
        <color indexed="63"/>
      </left>
      <right style="thin"/>
      <top style="medium"/>
      <bottom style="hair"/>
    </border>
    <border>
      <left>
        <color indexed="63"/>
      </left>
      <right style="thin"/>
      <top style="hair"/>
      <bottom style="hair"/>
    </border>
    <border>
      <left>
        <color indexed="63"/>
      </left>
      <right style="thin"/>
      <top style="hair"/>
      <bottom style="thin"/>
    </border>
    <border>
      <left>
        <color indexed="63"/>
      </left>
      <right style="thin"/>
      <top style="hair"/>
      <bottom style="medium"/>
    </border>
    <border>
      <left style="hair"/>
      <right>
        <color indexed="63"/>
      </right>
      <top style="medium"/>
      <bottom style="medium"/>
    </border>
    <border>
      <left style="hair"/>
      <right>
        <color indexed="63"/>
      </right>
      <top>
        <color indexed="63"/>
      </top>
      <bottom>
        <color indexed="63"/>
      </bottom>
    </border>
    <border>
      <left style="hair"/>
      <right>
        <color indexed="63"/>
      </right>
      <top style="hair"/>
      <bottom style="thin"/>
    </border>
    <border>
      <left style="hair"/>
      <right>
        <color indexed="63"/>
      </right>
      <top style="hair"/>
      <bottom style="medium"/>
    </border>
    <border>
      <left>
        <color indexed="63"/>
      </left>
      <right style="hair"/>
      <top style="hair"/>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hair"/>
      <top style="medium"/>
      <bottom style="double"/>
    </border>
    <border>
      <left style="hair"/>
      <right style="hair"/>
      <top style="medium"/>
      <bottom style="double"/>
    </border>
    <border>
      <left style="hair"/>
      <right style="medium"/>
      <top style="medium"/>
      <bottom style="double"/>
    </border>
    <border>
      <left style="double"/>
      <right>
        <color indexed="63"/>
      </right>
      <top>
        <color indexed="63"/>
      </top>
      <bottom style="double"/>
    </border>
    <border>
      <left>
        <color indexed="63"/>
      </left>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dashed"/>
      <top style="medium"/>
      <bottom>
        <color indexed="63"/>
      </bottom>
    </border>
    <border>
      <left>
        <color indexed="63"/>
      </left>
      <right style="dashed"/>
      <top>
        <color indexed="63"/>
      </top>
      <bottom style="thin"/>
    </border>
    <border>
      <left>
        <color indexed="63"/>
      </left>
      <right style="dashed"/>
      <top style="hair"/>
      <bottom>
        <color indexed="63"/>
      </bottom>
    </border>
    <border>
      <left>
        <color indexed="63"/>
      </left>
      <right style="dashed"/>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52" fillId="14" borderId="0" applyNumberFormat="0" applyBorder="0" applyAlignment="0" applyProtection="0"/>
    <xf numFmtId="0" fontId="152" fillId="15" borderId="0" applyNumberFormat="0" applyBorder="0" applyAlignment="0" applyProtection="0"/>
    <xf numFmtId="0" fontId="152" fillId="16" borderId="0" applyNumberFormat="0" applyBorder="0" applyAlignment="0" applyProtection="0"/>
    <xf numFmtId="0" fontId="152" fillId="17" borderId="0" applyNumberFormat="0" applyBorder="0" applyAlignment="0" applyProtection="0"/>
    <xf numFmtId="0" fontId="152" fillId="18" borderId="0" applyNumberFormat="0" applyBorder="0" applyAlignment="0" applyProtection="0"/>
    <xf numFmtId="0" fontId="152" fillId="19" borderId="0" applyNumberFormat="0" applyBorder="0" applyAlignment="0" applyProtection="0"/>
    <xf numFmtId="0" fontId="152" fillId="20" borderId="0" applyNumberFormat="0" applyBorder="0" applyAlignment="0" applyProtection="0"/>
    <xf numFmtId="0" fontId="152" fillId="21" borderId="0" applyNumberFormat="0" applyBorder="0" applyAlignment="0" applyProtection="0"/>
    <xf numFmtId="0" fontId="152" fillId="22" borderId="0" applyNumberFormat="0" applyBorder="0" applyAlignment="0" applyProtection="0"/>
    <xf numFmtId="0" fontId="152" fillId="23" borderId="0" applyNumberFormat="0" applyBorder="0" applyAlignment="0" applyProtection="0"/>
    <xf numFmtId="0" fontId="152" fillId="24" borderId="0" applyNumberFormat="0" applyBorder="0" applyAlignment="0" applyProtection="0"/>
    <xf numFmtId="0" fontId="152" fillId="25" borderId="0" applyNumberFormat="0" applyBorder="0" applyAlignment="0" applyProtection="0"/>
    <xf numFmtId="0" fontId="153" fillId="26" borderId="0" applyNumberFormat="0" applyBorder="0" applyAlignment="0" applyProtection="0"/>
    <xf numFmtId="0" fontId="154" fillId="27" borderId="1" applyNumberFormat="0" applyAlignment="0" applyProtection="0"/>
    <xf numFmtId="0" fontId="155"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56" fillId="0" borderId="0" applyNumberFormat="0" applyFill="0" applyBorder="0" applyAlignment="0" applyProtection="0"/>
    <xf numFmtId="0" fontId="32" fillId="0" borderId="0" applyNumberFormat="0" applyFill="0" applyBorder="0" applyAlignment="0" applyProtection="0"/>
    <xf numFmtId="0" fontId="157" fillId="29" borderId="0" applyNumberFormat="0" applyBorder="0" applyAlignment="0" applyProtection="0"/>
    <xf numFmtId="0" fontId="158" fillId="0" borderId="3" applyNumberFormat="0" applyFill="0" applyAlignment="0" applyProtection="0"/>
    <xf numFmtId="0" fontId="159" fillId="0" borderId="4" applyNumberFormat="0" applyFill="0" applyAlignment="0" applyProtection="0"/>
    <xf numFmtId="0" fontId="160" fillId="0" borderId="5" applyNumberFormat="0" applyFill="0" applyAlignment="0" applyProtection="0"/>
    <xf numFmtId="0" fontId="160" fillId="0" borderId="0" applyNumberFormat="0" applyFill="0" applyBorder="0" applyAlignment="0" applyProtection="0"/>
    <xf numFmtId="0" fontId="31" fillId="0" borderId="0" applyNumberFormat="0" applyFill="0" applyBorder="0" applyAlignment="0" applyProtection="0"/>
    <xf numFmtId="0" fontId="161" fillId="30" borderId="1" applyNumberFormat="0" applyAlignment="0" applyProtection="0"/>
    <xf numFmtId="0" fontId="162" fillId="0" borderId="6" applyNumberFormat="0" applyFill="0" applyAlignment="0" applyProtection="0"/>
    <xf numFmtId="0" fontId="163" fillId="31" borderId="0" applyNumberFormat="0" applyBorder="0" applyAlignment="0" applyProtection="0"/>
    <xf numFmtId="0" fontId="4" fillId="0" borderId="0">
      <alignment/>
      <protection/>
    </xf>
    <xf numFmtId="0" fontId="15"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164" fillId="27" borderId="8" applyNumberFormat="0" applyAlignment="0" applyProtection="0"/>
    <xf numFmtId="9" fontId="4" fillId="0" borderId="0" applyFont="0" applyFill="0" applyBorder="0" applyAlignment="0" applyProtection="0"/>
    <xf numFmtId="0" fontId="165" fillId="0" borderId="0" applyNumberFormat="0" applyFill="0" applyBorder="0" applyAlignment="0" applyProtection="0"/>
    <xf numFmtId="0" fontId="166" fillId="0" borderId="9" applyNumberFormat="0" applyFill="0" applyAlignment="0" applyProtection="0"/>
    <xf numFmtId="0" fontId="167" fillId="0" borderId="0" applyNumberFormat="0" applyFill="0" applyBorder="0" applyAlignment="0" applyProtection="0"/>
  </cellStyleXfs>
  <cellXfs count="1168">
    <xf numFmtId="0" fontId="0" fillId="0" borderId="0" xfId="0" applyAlignment="1">
      <alignment/>
    </xf>
    <xf numFmtId="0" fontId="6" fillId="0" borderId="0" xfId="0" applyFont="1" applyFill="1" applyBorder="1" applyAlignment="1">
      <alignment/>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15" fontId="6" fillId="0" borderId="0" xfId="0" applyNumberFormat="1" applyFont="1" applyFill="1" applyAlignment="1">
      <alignment/>
    </xf>
    <xf numFmtId="0" fontId="6" fillId="0" borderId="13" xfId="0" applyFont="1" applyFill="1" applyBorder="1" applyAlignment="1">
      <alignment/>
    </xf>
    <xf numFmtId="0" fontId="6" fillId="0" borderId="14" xfId="0" applyFont="1" applyFill="1" applyBorder="1" applyAlignment="1">
      <alignment/>
    </xf>
    <xf numFmtId="14" fontId="6" fillId="0" borderId="0" xfId="0" applyNumberFormat="1" applyFont="1" applyFill="1" applyAlignment="1">
      <alignment/>
    </xf>
    <xf numFmtId="0" fontId="6" fillId="0" borderId="15" xfId="0" applyFont="1" applyFill="1" applyBorder="1" applyAlignment="1">
      <alignment/>
    </xf>
    <xf numFmtId="0" fontId="6" fillId="0" borderId="16" xfId="0" applyFont="1" applyFill="1" applyBorder="1" applyAlignment="1">
      <alignment/>
    </xf>
    <xf numFmtId="0" fontId="6" fillId="0" borderId="0" xfId="0" applyFont="1" applyFill="1" applyAlignment="1">
      <alignment wrapText="1"/>
    </xf>
    <xf numFmtId="0" fontId="6" fillId="0" borderId="0" xfId="0" applyNumberFormat="1" applyFont="1" applyFill="1" applyBorder="1" applyAlignment="1">
      <alignment/>
    </xf>
    <xf numFmtId="2" fontId="6" fillId="0" borderId="0" xfId="0" applyNumberFormat="1" applyFont="1" applyFill="1" applyBorder="1" applyAlignment="1">
      <alignment/>
    </xf>
    <xf numFmtId="14" fontId="6" fillId="0" borderId="0" xfId="0" applyNumberFormat="1" applyFont="1" applyFill="1" applyBorder="1" applyAlignment="1">
      <alignment/>
    </xf>
    <xf numFmtId="0" fontId="15" fillId="0" borderId="0" xfId="58">
      <alignment/>
      <protection/>
    </xf>
    <xf numFmtId="0" fontId="6" fillId="33" borderId="13" xfId="0" applyFont="1" applyFill="1" applyBorder="1" applyAlignment="1">
      <alignment horizontal="center"/>
    </xf>
    <xf numFmtId="11" fontId="6" fillId="0" borderId="0" xfId="0" applyNumberFormat="1" applyFont="1" applyFill="1" applyBorder="1" applyAlignment="1">
      <alignment/>
    </xf>
    <xf numFmtId="171" fontId="10" fillId="0" borderId="0" xfId="63" applyNumberFormat="1" applyFont="1" applyFill="1" applyBorder="1" applyAlignment="1">
      <alignment/>
    </xf>
    <xf numFmtId="0" fontId="6" fillId="0" borderId="17" xfId="0" applyFont="1" applyFill="1" applyBorder="1" applyAlignment="1">
      <alignment/>
    </xf>
    <xf numFmtId="11" fontId="6" fillId="0" borderId="12" xfId="0" applyNumberFormat="1" applyFont="1" applyFill="1" applyBorder="1" applyAlignment="1">
      <alignment/>
    </xf>
    <xf numFmtId="0" fontId="22" fillId="0" borderId="0" xfId="0" applyFont="1" applyFill="1" applyAlignment="1">
      <alignment/>
    </xf>
    <xf numFmtId="14" fontId="6" fillId="0" borderId="17" xfId="0" applyNumberFormat="1" applyFont="1" applyFill="1" applyBorder="1" applyAlignment="1">
      <alignment/>
    </xf>
    <xf numFmtId="14" fontId="6" fillId="0" borderId="16" xfId="0" applyNumberFormat="1" applyFont="1" applyFill="1" applyBorder="1" applyAlignment="1">
      <alignment/>
    </xf>
    <xf numFmtId="0" fontId="6" fillId="0" borderId="18" xfId="0" applyFont="1" applyFill="1" applyBorder="1" applyAlignment="1">
      <alignment/>
    </xf>
    <xf numFmtId="0" fontId="6" fillId="0" borderId="0" xfId="0" applyFont="1" applyFill="1" applyBorder="1" applyAlignment="1">
      <alignment horizontal="right"/>
    </xf>
    <xf numFmtId="11" fontId="6" fillId="0" borderId="0" xfId="0" applyNumberFormat="1" applyFont="1" applyFill="1" applyAlignment="1">
      <alignment/>
    </xf>
    <xf numFmtId="0" fontId="6" fillId="33" borderId="0" xfId="0" applyFont="1" applyFill="1" applyBorder="1" applyAlignment="1">
      <alignment/>
    </xf>
    <xf numFmtId="2" fontId="6" fillId="0" borderId="0" xfId="0" applyNumberFormat="1" applyFont="1" applyFill="1" applyBorder="1" applyAlignment="1">
      <alignment horizontal="center"/>
    </xf>
    <xf numFmtId="0" fontId="6" fillId="0" borderId="0" xfId="0" applyFont="1" applyFill="1" applyAlignment="1">
      <alignment horizontal="center"/>
    </xf>
    <xf numFmtId="2" fontId="6" fillId="0" borderId="17" xfId="0" applyNumberFormat="1" applyFont="1" applyFill="1" applyBorder="1" applyAlignment="1">
      <alignment horizontal="center"/>
    </xf>
    <xf numFmtId="2" fontId="6" fillId="0" borderId="19" xfId="0" applyNumberFormat="1" applyFont="1" applyFill="1" applyBorder="1" applyAlignment="1">
      <alignment horizontal="center"/>
    </xf>
    <xf numFmtId="2" fontId="6" fillId="0" borderId="12" xfId="0" applyNumberFormat="1" applyFont="1" applyFill="1" applyBorder="1" applyAlignment="1">
      <alignment horizontal="center"/>
    </xf>
    <xf numFmtId="0" fontId="6" fillId="0" borderId="15" xfId="0" applyNumberFormat="1" applyFont="1" applyFill="1" applyBorder="1" applyAlignment="1">
      <alignment/>
    </xf>
    <xf numFmtId="0" fontId="6" fillId="0" borderId="16" xfId="0" applyNumberFormat="1" applyFont="1" applyFill="1" applyBorder="1" applyAlignment="1">
      <alignment/>
    </xf>
    <xf numFmtId="0" fontId="6" fillId="0" borderId="18" xfId="0" applyNumberFormat="1" applyFont="1" applyFill="1" applyBorder="1" applyAlignment="1">
      <alignment/>
    </xf>
    <xf numFmtId="14" fontId="6" fillId="33" borderId="0" xfId="0" applyNumberFormat="1" applyFont="1" applyFill="1" applyAlignment="1">
      <alignment/>
    </xf>
    <xf numFmtId="0" fontId="6" fillId="33" borderId="0" xfId="0" applyFont="1" applyFill="1" applyAlignment="1">
      <alignment/>
    </xf>
    <xf numFmtId="0" fontId="29" fillId="33" borderId="0" xfId="0" applyFont="1" applyFill="1" applyAlignment="1">
      <alignment/>
    </xf>
    <xf numFmtId="0" fontId="6" fillId="0" borderId="20" xfId="0" applyFont="1" applyFill="1" applyBorder="1" applyAlignment="1">
      <alignment/>
    </xf>
    <xf numFmtId="0" fontId="6" fillId="0" borderId="21" xfId="0" applyFont="1" applyFill="1" applyBorder="1" applyAlignment="1">
      <alignment/>
    </xf>
    <xf numFmtId="0" fontId="6" fillId="0" borderId="22" xfId="0" applyFont="1" applyFill="1" applyBorder="1" applyAlignment="1">
      <alignment/>
    </xf>
    <xf numFmtId="0" fontId="6" fillId="0" borderId="23" xfId="0" applyFont="1" applyFill="1" applyBorder="1" applyAlignment="1">
      <alignment/>
    </xf>
    <xf numFmtId="0" fontId="6" fillId="0" borderId="24" xfId="0" applyFont="1" applyFill="1" applyBorder="1" applyAlignment="1">
      <alignment/>
    </xf>
    <xf numFmtId="0" fontId="0" fillId="34" borderId="0" xfId="0" applyFont="1" applyFill="1" applyAlignment="1">
      <alignment horizontal="center"/>
    </xf>
    <xf numFmtId="11" fontId="6" fillId="33" borderId="0" xfId="0" applyNumberFormat="1" applyFont="1" applyFill="1" applyBorder="1" applyAlignment="1">
      <alignment/>
    </xf>
    <xf numFmtId="11" fontId="6" fillId="0" borderId="10" xfId="0" applyNumberFormat="1" applyFont="1" applyFill="1" applyBorder="1" applyAlignment="1">
      <alignment/>
    </xf>
    <xf numFmtId="11" fontId="6" fillId="0" borderId="17" xfId="0" applyNumberFormat="1" applyFont="1" applyFill="1" applyBorder="1" applyAlignment="1">
      <alignment/>
    </xf>
    <xf numFmtId="11" fontId="6" fillId="0" borderId="19" xfId="0" applyNumberFormat="1" applyFont="1" applyFill="1" applyBorder="1" applyAlignment="1">
      <alignment/>
    </xf>
    <xf numFmtId="14" fontId="6" fillId="0" borderId="11" xfId="0" applyNumberFormat="1" applyFont="1" applyFill="1" applyBorder="1" applyAlignment="1">
      <alignment/>
    </xf>
    <xf numFmtId="11" fontId="6" fillId="0" borderId="11" xfId="0" applyNumberFormat="1" applyFont="1" applyFill="1" applyBorder="1" applyAlignment="1">
      <alignment/>
    </xf>
    <xf numFmtId="0" fontId="6" fillId="0" borderId="12" xfId="0" applyNumberFormat="1" applyFont="1" applyFill="1" applyBorder="1" applyAlignment="1">
      <alignment/>
    </xf>
    <xf numFmtId="11" fontId="40" fillId="0" borderId="0" xfId="0" applyNumberFormat="1" applyFont="1" applyFill="1" applyBorder="1" applyAlignment="1">
      <alignment/>
    </xf>
    <xf numFmtId="11" fontId="6" fillId="0" borderId="25" xfId="0" applyNumberFormat="1" applyFont="1" applyFill="1" applyBorder="1" applyAlignment="1">
      <alignment/>
    </xf>
    <xf numFmtId="11" fontId="6" fillId="0" borderId="26" xfId="0" applyNumberFormat="1" applyFont="1" applyFill="1" applyBorder="1" applyAlignment="1">
      <alignment/>
    </xf>
    <xf numFmtId="11" fontId="6" fillId="0" borderId="27" xfId="0" applyNumberFormat="1" applyFont="1" applyFill="1" applyBorder="1" applyAlignment="1">
      <alignment/>
    </xf>
    <xf numFmtId="0" fontId="6" fillId="0" borderId="0" xfId="0" applyNumberFormat="1" applyFont="1" applyFill="1" applyBorder="1" applyAlignment="1">
      <alignment horizontal="right"/>
    </xf>
    <xf numFmtId="11" fontId="6" fillId="33" borderId="0" xfId="0" applyNumberFormat="1" applyFont="1" applyFill="1" applyAlignment="1">
      <alignment/>
    </xf>
    <xf numFmtId="11" fontId="6" fillId="0" borderId="28" xfId="0" applyNumberFormat="1" applyFont="1" applyFill="1" applyBorder="1" applyAlignment="1">
      <alignment/>
    </xf>
    <xf numFmtId="11" fontId="6" fillId="0" borderId="29" xfId="0" applyNumberFormat="1" applyFont="1" applyFill="1" applyBorder="1" applyAlignment="1">
      <alignment/>
    </xf>
    <xf numFmtId="11" fontId="6" fillId="0" borderId="30" xfId="0" applyNumberFormat="1" applyFont="1" applyFill="1" applyBorder="1" applyAlignment="1">
      <alignment/>
    </xf>
    <xf numFmtId="11" fontId="6" fillId="0" borderId="31" xfId="0" applyNumberFormat="1" applyFont="1" applyFill="1" applyBorder="1" applyAlignment="1">
      <alignment/>
    </xf>
    <xf numFmtId="11" fontId="6" fillId="0" borderId="32" xfId="0" applyNumberFormat="1" applyFont="1" applyFill="1" applyBorder="1" applyAlignment="1">
      <alignment/>
    </xf>
    <xf numFmtId="11" fontId="6" fillId="0" borderId="33" xfId="0" applyNumberFormat="1" applyFont="1" applyFill="1" applyBorder="1" applyAlignment="1">
      <alignment/>
    </xf>
    <xf numFmtId="11" fontId="6" fillId="0" borderId="34" xfId="0" applyNumberFormat="1" applyFont="1" applyFill="1" applyBorder="1" applyAlignment="1">
      <alignment/>
    </xf>
    <xf numFmtId="11" fontId="6" fillId="0" borderId="35" xfId="0" applyNumberFormat="1" applyFont="1" applyFill="1" applyBorder="1" applyAlignment="1">
      <alignment/>
    </xf>
    <xf numFmtId="11" fontId="6" fillId="0" borderId="36" xfId="0" applyNumberFormat="1" applyFont="1" applyFill="1" applyBorder="1" applyAlignment="1">
      <alignment/>
    </xf>
    <xf numFmtId="11" fontId="10" fillId="0" borderId="0" xfId="0" applyNumberFormat="1" applyFont="1" applyFill="1" applyAlignment="1">
      <alignment/>
    </xf>
    <xf numFmtId="11" fontId="6" fillId="0" borderId="37" xfId="0" applyNumberFormat="1" applyFont="1" applyFill="1" applyBorder="1" applyAlignment="1">
      <alignment/>
    </xf>
    <xf numFmtId="0" fontId="6" fillId="0" borderId="34" xfId="0" applyNumberFormat="1" applyFont="1" applyFill="1" applyBorder="1" applyAlignment="1">
      <alignment/>
    </xf>
    <xf numFmtId="11" fontId="6" fillId="0" borderId="38" xfId="0" applyNumberFormat="1" applyFont="1" applyFill="1" applyBorder="1" applyAlignment="1">
      <alignment/>
    </xf>
    <xf numFmtId="11" fontId="10" fillId="0" borderId="31" xfId="0" applyNumberFormat="1" applyFont="1" applyFill="1" applyBorder="1" applyAlignment="1">
      <alignment/>
    </xf>
    <xf numFmtId="11" fontId="41" fillId="0" borderId="33" xfId="0" applyNumberFormat="1" applyFont="1" applyFill="1" applyBorder="1" applyAlignment="1">
      <alignment/>
    </xf>
    <xf numFmtId="11" fontId="10" fillId="0" borderId="33" xfId="0" applyNumberFormat="1" applyFont="1" applyFill="1" applyBorder="1" applyAlignment="1">
      <alignment/>
    </xf>
    <xf numFmtId="11" fontId="10" fillId="0" borderId="35" xfId="0" applyNumberFormat="1" applyFont="1" applyFill="1" applyBorder="1" applyAlignment="1">
      <alignment/>
    </xf>
    <xf numFmtId="0" fontId="6" fillId="33" borderId="0" xfId="0" applyNumberFormat="1" applyFont="1" applyFill="1" applyBorder="1" applyAlignment="1">
      <alignment/>
    </xf>
    <xf numFmtId="2" fontId="6" fillId="0" borderId="10" xfId="0" applyNumberFormat="1" applyFont="1" applyFill="1" applyBorder="1" applyAlignment="1">
      <alignment horizontal="center"/>
    </xf>
    <xf numFmtId="2" fontId="6" fillId="0" borderId="11" xfId="0" applyNumberFormat="1" applyFont="1" applyFill="1" applyBorder="1" applyAlignment="1">
      <alignment horizontal="center"/>
    </xf>
    <xf numFmtId="0" fontId="22" fillId="0" borderId="0" xfId="0" applyFont="1" applyFill="1" applyBorder="1" applyAlignment="1">
      <alignment/>
    </xf>
    <xf numFmtId="170" fontId="6" fillId="0" borderId="0" xfId="63" applyNumberFormat="1" applyFont="1" applyFill="1" applyBorder="1" applyAlignment="1">
      <alignment/>
    </xf>
    <xf numFmtId="170" fontId="6" fillId="0" borderId="0" xfId="0" applyNumberFormat="1" applyFont="1" applyFill="1" applyAlignment="1">
      <alignment/>
    </xf>
    <xf numFmtId="168" fontId="6" fillId="0" borderId="0" xfId="0" applyNumberFormat="1" applyFont="1" applyFill="1" applyBorder="1" applyAlignment="1">
      <alignment/>
    </xf>
    <xf numFmtId="0" fontId="6" fillId="0" borderId="31" xfId="0" applyFont="1" applyFill="1" applyBorder="1" applyAlignment="1">
      <alignment/>
    </xf>
    <xf numFmtId="0" fontId="6" fillId="0" borderId="32" xfId="0" applyFont="1" applyFill="1" applyBorder="1" applyAlignment="1">
      <alignment/>
    </xf>
    <xf numFmtId="14" fontId="6" fillId="0" borderId="32" xfId="0" applyNumberFormat="1" applyFont="1" applyFill="1" applyBorder="1" applyAlignment="1">
      <alignment/>
    </xf>
    <xf numFmtId="0" fontId="6" fillId="0" borderId="37" xfId="0" applyFont="1" applyFill="1" applyBorder="1" applyAlignment="1">
      <alignment/>
    </xf>
    <xf numFmtId="0" fontId="10" fillId="0" borderId="33" xfId="0" applyFont="1" applyFill="1" applyBorder="1" applyAlignment="1">
      <alignment/>
    </xf>
    <xf numFmtId="0" fontId="6" fillId="0" borderId="34" xfId="0" applyFont="1" applyFill="1" applyBorder="1" applyAlignment="1">
      <alignment/>
    </xf>
    <xf numFmtId="0" fontId="6" fillId="0" borderId="35" xfId="0" applyFont="1" applyFill="1" applyBorder="1" applyAlignment="1">
      <alignment/>
    </xf>
    <xf numFmtId="0" fontId="6" fillId="0" borderId="36" xfId="0" applyFont="1" applyFill="1" applyBorder="1" applyAlignment="1">
      <alignment/>
    </xf>
    <xf numFmtId="14" fontId="6" fillId="0" borderId="36" xfId="0" applyNumberFormat="1" applyFont="1" applyFill="1" applyBorder="1" applyAlignment="1">
      <alignment/>
    </xf>
    <xf numFmtId="0" fontId="6" fillId="0" borderId="38" xfId="0" applyFont="1" applyFill="1" applyBorder="1" applyAlignment="1">
      <alignment/>
    </xf>
    <xf numFmtId="0" fontId="10" fillId="0" borderId="28" xfId="0" applyFont="1" applyFill="1" applyBorder="1" applyAlignment="1">
      <alignment/>
    </xf>
    <xf numFmtId="0" fontId="6" fillId="0" borderId="29" xfId="0" applyFont="1" applyFill="1" applyBorder="1" applyAlignment="1">
      <alignment/>
    </xf>
    <xf numFmtId="14" fontId="6" fillId="0" borderId="29" xfId="0" applyNumberFormat="1" applyFont="1" applyFill="1" applyBorder="1" applyAlignment="1">
      <alignment/>
    </xf>
    <xf numFmtId="0" fontId="6" fillId="0" borderId="30" xfId="0" applyFont="1" applyFill="1" applyBorder="1" applyAlignment="1">
      <alignment/>
    </xf>
    <xf numFmtId="170" fontId="6" fillId="0" borderId="36" xfId="63" applyNumberFormat="1" applyFont="1" applyFill="1" applyBorder="1" applyAlignment="1">
      <alignment/>
    </xf>
    <xf numFmtId="170" fontId="6" fillId="0" borderId="38" xfId="63" applyNumberFormat="1" applyFont="1" applyFill="1" applyBorder="1" applyAlignment="1">
      <alignment/>
    </xf>
    <xf numFmtId="0" fontId="10" fillId="0" borderId="0" xfId="0" applyFont="1" applyFill="1" applyBorder="1" applyAlignment="1">
      <alignment/>
    </xf>
    <xf numFmtId="0" fontId="10" fillId="0" borderId="0" xfId="0" applyNumberFormat="1" applyFont="1" applyFill="1" applyBorder="1" applyAlignment="1">
      <alignment/>
    </xf>
    <xf numFmtId="0" fontId="0" fillId="34" borderId="0" xfId="0" applyFill="1" applyAlignment="1" applyProtection="1">
      <alignment horizontal="center"/>
      <protection/>
    </xf>
    <xf numFmtId="0" fontId="0" fillId="34" borderId="0" xfId="0" applyFill="1" applyBorder="1" applyAlignment="1" applyProtection="1">
      <alignment horizontal="center"/>
      <protection/>
    </xf>
    <xf numFmtId="0" fontId="13" fillId="34" borderId="0" xfId="0" applyFont="1" applyFill="1" applyAlignment="1" applyProtection="1">
      <alignment horizontal="left"/>
      <protection/>
    </xf>
    <xf numFmtId="0" fontId="0" fillId="34" borderId="0" xfId="0" applyFill="1" applyAlignment="1">
      <alignment horizontal="center"/>
    </xf>
    <xf numFmtId="0" fontId="0" fillId="34" borderId="16" xfId="0" applyFill="1" applyBorder="1" applyAlignment="1" applyProtection="1">
      <alignment horizontal="center"/>
      <protection/>
    </xf>
    <xf numFmtId="0" fontId="43" fillId="34" borderId="0" xfId="0" applyFont="1" applyFill="1" applyAlignment="1" applyProtection="1">
      <alignment horizontal="left"/>
      <protection/>
    </xf>
    <xf numFmtId="0" fontId="44" fillId="34" borderId="27" xfId="0" applyFont="1" applyFill="1" applyBorder="1" applyAlignment="1" applyProtection="1">
      <alignment horizontal="center" vertical="center"/>
      <protection/>
    </xf>
    <xf numFmtId="0" fontId="45" fillId="34" borderId="25" xfId="0" applyFont="1" applyFill="1" applyBorder="1" applyAlignment="1" applyProtection="1">
      <alignment horizontal="left" vertical="center"/>
      <protection/>
    </xf>
    <xf numFmtId="0" fontId="45" fillId="34" borderId="25" xfId="0" applyFont="1" applyFill="1" applyBorder="1" applyAlignment="1">
      <alignment vertical="center"/>
    </xf>
    <xf numFmtId="0" fontId="0" fillId="34" borderId="0" xfId="0" applyFill="1" applyAlignment="1">
      <alignment horizontal="center" vertical="center"/>
    </xf>
    <xf numFmtId="0" fontId="0" fillId="34" borderId="12" xfId="0" applyFill="1" applyBorder="1" applyAlignment="1" applyProtection="1">
      <alignment horizontal="center"/>
      <protection/>
    </xf>
    <xf numFmtId="0" fontId="0" fillId="34" borderId="10" xfId="0" applyFill="1" applyBorder="1" applyAlignment="1" applyProtection="1">
      <alignment horizontal="center"/>
      <protection/>
    </xf>
    <xf numFmtId="0" fontId="0" fillId="34" borderId="17" xfId="0" applyFill="1" applyBorder="1" applyAlignment="1" applyProtection="1">
      <alignment horizontal="center"/>
      <protection/>
    </xf>
    <xf numFmtId="0" fontId="0" fillId="34" borderId="19" xfId="0" applyFill="1" applyBorder="1" applyAlignment="1" applyProtection="1">
      <alignment horizontal="center"/>
      <protection/>
    </xf>
    <xf numFmtId="0" fontId="0" fillId="34" borderId="11" xfId="0" applyFill="1" applyBorder="1" applyAlignment="1">
      <alignment horizontal="center"/>
    </xf>
    <xf numFmtId="0" fontId="0" fillId="34" borderId="0" xfId="0" applyFill="1" applyBorder="1" applyAlignment="1">
      <alignment horizontal="center"/>
    </xf>
    <xf numFmtId="0" fontId="0" fillId="34" borderId="12" xfId="0" applyFill="1" applyBorder="1" applyAlignment="1">
      <alignment horizontal="center"/>
    </xf>
    <xf numFmtId="0" fontId="0" fillId="34" borderId="12" xfId="0" applyFont="1" applyFill="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0" fillId="34" borderId="11"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47" fillId="34" borderId="0" xfId="0" applyFont="1" applyFill="1" applyBorder="1" applyAlignment="1">
      <alignment horizontal="center" vertical="center" wrapText="1"/>
    </xf>
    <xf numFmtId="0" fontId="47" fillId="34" borderId="12" xfId="0" applyFont="1" applyFill="1" applyBorder="1" applyAlignment="1">
      <alignment horizontal="center" vertical="center" wrapText="1"/>
    </xf>
    <xf numFmtId="0" fontId="0" fillId="34" borderId="0" xfId="0" applyFont="1" applyFill="1" applyAlignment="1">
      <alignment horizontal="center" vertical="center" wrapText="1"/>
    </xf>
    <xf numFmtId="0" fontId="12" fillId="34" borderId="12" xfId="0" applyFont="1" applyFill="1" applyBorder="1" applyAlignment="1" applyProtection="1">
      <alignment horizontal="center" wrapText="1"/>
      <protection/>
    </xf>
    <xf numFmtId="0" fontId="12" fillId="34" borderId="11" xfId="0" applyFont="1" applyFill="1" applyBorder="1" applyAlignment="1" applyProtection="1">
      <alignment horizontal="center" wrapText="1"/>
      <protection/>
    </xf>
    <xf numFmtId="0" fontId="12" fillId="34" borderId="0" xfId="0" applyFont="1" applyFill="1" applyBorder="1" applyAlignment="1" applyProtection="1">
      <alignment horizontal="center" wrapText="1"/>
      <protection/>
    </xf>
    <xf numFmtId="0" fontId="50" fillId="34" borderId="12" xfId="0" applyFont="1" applyFill="1" applyBorder="1" applyAlignment="1" applyProtection="1">
      <alignment horizontal="center" wrapText="1"/>
      <protection/>
    </xf>
    <xf numFmtId="0" fontId="12" fillId="34" borderId="11" xfId="0" applyFont="1" applyFill="1" applyBorder="1" applyAlignment="1">
      <alignment horizontal="center" wrapText="1"/>
    </xf>
    <xf numFmtId="0" fontId="12" fillId="34" borderId="0" xfId="0" applyFont="1" applyFill="1" applyBorder="1" applyAlignment="1">
      <alignment horizontal="center" wrapText="1"/>
    </xf>
    <xf numFmtId="0" fontId="12" fillId="34" borderId="12" xfId="0" applyFont="1" applyFill="1" applyBorder="1" applyAlignment="1">
      <alignment horizontal="center" wrapText="1"/>
    </xf>
    <xf numFmtId="0" fontId="12" fillId="34" borderId="0" xfId="0" applyFont="1" applyFill="1" applyAlignment="1">
      <alignment horizontal="center" wrapText="1"/>
    </xf>
    <xf numFmtId="0" fontId="0" fillId="34" borderId="32" xfId="0" applyFont="1" applyFill="1" applyBorder="1" applyAlignment="1" applyProtection="1">
      <alignment horizontal="center" wrapText="1"/>
      <protection/>
    </xf>
    <xf numFmtId="0" fontId="0" fillId="34" borderId="39" xfId="0" applyFont="1" applyFill="1" applyBorder="1" applyAlignment="1" applyProtection="1">
      <alignment horizontal="center" wrapText="1"/>
      <protection/>
    </xf>
    <xf numFmtId="0" fontId="0" fillId="34" borderId="40" xfId="0" applyFont="1" applyFill="1" applyBorder="1" applyAlignment="1" applyProtection="1">
      <alignment horizontal="center" wrapText="1"/>
      <protection/>
    </xf>
    <xf numFmtId="0" fontId="0" fillId="34" borderId="40" xfId="0" applyFont="1" applyFill="1" applyBorder="1" applyAlignment="1">
      <alignment horizontal="center" wrapText="1"/>
    </xf>
    <xf numFmtId="0" fontId="0" fillId="34" borderId="32" xfId="0" applyFont="1" applyFill="1" applyBorder="1" applyAlignment="1">
      <alignment horizontal="center" wrapText="1"/>
    </xf>
    <xf numFmtId="0" fontId="0" fillId="34" borderId="39" xfId="0" applyFont="1" applyFill="1" applyBorder="1" applyAlignment="1">
      <alignment horizontal="center" wrapText="1"/>
    </xf>
    <xf numFmtId="0" fontId="0" fillId="34" borderId="0" xfId="0" applyFont="1" applyFill="1" applyBorder="1" applyAlignment="1">
      <alignment horizontal="center" wrapText="1"/>
    </xf>
    <xf numFmtId="0" fontId="0" fillId="34" borderId="0" xfId="0" applyFont="1" applyFill="1" applyAlignment="1">
      <alignment horizontal="center" wrapText="1"/>
    </xf>
    <xf numFmtId="0" fontId="0" fillId="34" borderId="0" xfId="0" applyFont="1" applyFill="1" applyAlignment="1" applyProtection="1">
      <alignment horizontal="center"/>
      <protection/>
    </xf>
    <xf numFmtId="0" fontId="14" fillId="34" borderId="12" xfId="0" applyFont="1" applyFill="1" applyBorder="1" applyAlignment="1" applyProtection="1">
      <alignment horizontal="center"/>
      <protection/>
    </xf>
    <xf numFmtId="168" fontId="0" fillId="34" borderId="11" xfId="0" applyNumberFormat="1" applyFont="1" applyFill="1" applyBorder="1" applyAlignment="1" applyProtection="1">
      <alignment horizontal="center"/>
      <protection/>
    </xf>
    <xf numFmtId="11" fontId="0" fillId="34" borderId="0" xfId="0" applyNumberFormat="1" applyFont="1" applyFill="1" applyBorder="1" applyAlignment="1" applyProtection="1">
      <alignment horizontal="center"/>
      <protection/>
    </xf>
    <xf numFmtId="11" fontId="0" fillId="34" borderId="12" xfId="0" applyNumberFormat="1" applyFont="1" applyFill="1" applyBorder="1" applyAlignment="1" applyProtection="1">
      <alignment horizontal="center"/>
      <protection/>
    </xf>
    <xf numFmtId="0" fontId="0" fillId="34" borderId="11" xfId="0" applyNumberFormat="1" applyFont="1" applyFill="1" applyBorder="1" applyAlignment="1">
      <alignment horizontal="center"/>
    </xf>
    <xf numFmtId="0" fontId="0" fillId="34" borderId="0" xfId="0" applyNumberFormat="1" applyFont="1" applyFill="1" applyBorder="1" applyAlignment="1">
      <alignment horizontal="center"/>
    </xf>
    <xf numFmtId="0" fontId="0" fillId="34" borderId="12" xfId="0" applyNumberFormat="1" applyFont="1" applyFill="1" applyBorder="1" applyAlignment="1">
      <alignment horizontal="center"/>
    </xf>
    <xf numFmtId="0" fontId="14" fillId="34" borderId="41" xfId="0" applyFont="1" applyFill="1" applyBorder="1" applyAlignment="1" applyProtection="1">
      <alignment horizontal="center"/>
      <protection/>
    </xf>
    <xf numFmtId="168" fontId="0" fillId="34" borderId="42" xfId="0" applyNumberFormat="1" applyFont="1" applyFill="1" applyBorder="1" applyAlignment="1" applyProtection="1">
      <alignment horizontal="center"/>
      <protection/>
    </xf>
    <xf numFmtId="11" fontId="0" fillId="34" borderId="36" xfId="0" applyNumberFormat="1" applyFont="1" applyFill="1" applyBorder="1" applyAlignment="1" applyProtection="1">
      <alignment horizontal="center"/>
      <protection/>
    </xf>
    <xf numFmtId="11" fontId="0" fillId="34" borderId="41" xfId="0" applyNumberFormat="1" applyFont="1" applyFill="1" applyBorder="1" applyAlignment="1" applyProtection="1">
      <alignment horizontal="center"/>
      <protection/>
    </xf>
    <xf numFmtId="0" fontId="0" fillId="34" borderId="42" xfId="0" applyNumberFormat="1" applyFont="1" applyFill="1" applyBorder="1" applyAlignment="1">
      <alignment horizontal="center"/>
    </xf>
    <xf numFmtId="0" fontId="0" fillId="34" borderId="36" xfId="0" applyNumberFormat="1" applyFont="1" applyFill="1" applyBorder="1" applyAlignment="1">
      <alignment horizontal="center"/>
    </xf>
    <xf numFmtId="0" fontId="0" fillId="34" borderId="41" xfId="0" applyNumberFormat="1" applyFont="1" applyFill="1" applyBorder="1" applyAlignment="1">
      <alignment horizontal="center"/>
    </xf>
    <xf numFmtId="0" fontId="14" fillId="34" borderId="18" xfId="0" applyFont="1" applyFill="1" applyBorder="1" applyAlignment="1" applyProtection="1">
      <alignment horizontal="center"/>
      <protection/>
    </xf>
    <xf numFmtId="168" fontId="0" fillId="34" borderId="15" xfId="0" applyNumberFormat="1" applyFont="1" applyFill="1" applyBorder="1" applyAlignment="1" applyProtection="1">
      <alignment horizontal="center"/>
      <protection/>
    </xf>
    <xf numFmtId="11" fontId="0" fillId="34" borderId="16" xfId="0" applyNumberFormat="1" applyFont="1" applyFill="1" applyBorder="1" applyAlignment="1" applyProtection="1">
      <alignment horizontal="center"/>
      <protection/>
    </xf>
    <xf numFmtId="11" fontId="0" fillId="34" borderId="18" xfId="0" applyNumberFormat="1" applyFont="1" applyFill="1" applyBorder="1" applyAlignment="1" applyProtection="1">
      <alignment horizontal="center"/>
      <protection/>
    </xf>
    <xf numFmtId="0" fontId="0" fillId="34" borderId="15" xfId="0" applyNumberFormat="1" applyFont="1" applyFill="1" applyBorder="1" applyAlignment="1">
      <alignment horizontal="center"/>
    </xf>
    <xf numFmtId="0" fontId="0" fillId="34" borderId="16" xfId="0" applyNumberFormat="1" applyFont="1" applyFill="1" applyBorder="1" applyAlignment="1">
      <alignment horizontal="center"/>
    </xf>
    <xf numFmtId="0" fontId="0" fillId="34" borderId="18" xfId="0" applyNumberFormat="1" applyFont="1" applyFill="1" applyBorder="1" applyAlignment="1">
      <alignment horizontal="center"/>
    </xf>
    <xf numFmtId="0" fontId="53" fillId="34" borderId="12" xfId="0" applyFont="1" applyFill="1" applyBorder="1" applyAlignment="1" applyProtection="1">
      <alignment horizontal="center"/>
      <protection/>
    </xf>
    <xf numFmtId="0" fontId="0" fillId="34" borderId="11" xfId="0" applyFont="1" applyFill="1" applyBorder="1" applyAlignment="1" applyProtection="1">
      <alignment horizontal="center"/>
      <protection/>
    </xf>
    <xf numFmtId="11" fontId="52" fillId="34" borderId="0" xfId="0" applyNumberFormat="1" applyFont="1" applyFill="1" applyBorder="1" applyAlignment="1" applyProtection="1">
      <alignment horizontal="center"/>
      <protection/>
    </xf>
    <xf numFmtId="11" fontId="52" fillId="34" borderId="12" xfId="0" applyNumberFormat="1" applyFont="1" applyFill="1" applyBorder="1" applyAlignment="1" applyProtection="1">
      <alignment horizontal="center"/>
      <protection/>
    </xf>
    <xf numFmtId="166" fontId="52" fillId="34" borderId="0" xfId="0" applyNumberFormat="1" applyFont="1" applyFill="1" applyBorder="1" applyAlignment="1" applyProtection="1">
      <alignment horizontal="center"/>
      <protection/>
    </xf>
    <xf numFmtId="0" fontId="53" fillId="34" borderId="18" xfId="0" applyFont="1" applyFill="1" applyBorder="1" applyAlignment="1" applyProtection="1">
      <alignment horizontal="center"/>
      <protection/>
    </xf>
    <xf numFmtId="0" fontId="0" fillId="34" borderId="15" xfId="0" applyFont="1" applyFill="1" applyBorder="1" applyAlignment="1" applyProtection="1">
      <alignment horizontal="center"/>
      <protection/>
    </xf>
    <xf numFmtId="11" fontId="52" fillId="34" borderId="16" xfId="0" applyNumberFormat="1" applyFont="1" applyFill="1" applyBorder="1" applyAlignment="1" applyProtection="1">
      <alignment horizontal="center"/>
      <protection/>
    </xf>
    <xf numFmtId="11" fontId="52" fillId="34" borderId="18" xfId="0" applyNumberFormat="1" applyFont="1" applyFill="1" applyBorder="1" applyAlignment="1" applyProtection="1">
      <alignment horizontal="center"/>
      <protection/>
    </xf>
    <xf numFmtId="1" fontId="54" fillId="34" borderId="0" xfId="0" applyNumberFormat="1" applyFont="1" applyFill="1" applyBorder="1" applyAlignment="1" applyProtection="1">
      <alignment horizontal="left"/>
      <protection/>
    </xf>
    <xf numFmtId="0" fontId="52" fillId="34" borderId="0" xfId="0" applyFont="1" applyFill="1" applyBorder="1" applyAlignment="1" applyProtection="1">
      <alignment horizontal="left"/>
      <protection/>
    </xf>
    <xf numFmtId="10" fontId="6" fillId="0" borderId="0" xfId="0" applyNumberFormat="1" applyFont="1" applyFill="1" applyAlignment="1">
      <alignment/>
    </xf>
    <xf numFmtId="10" fontId="6" fillId="0" borderId="0" xfId="63" applyNumberFormat="1" applyFont="1" applyFill="1" applyBorder="1" applyAlignment="1">
      <alignment/>
    </xf>
    <xf numFmtId="165" fontId="6" fillId="0" borderId="0" xfId="0" applyNumberFormat="1" applyFont="1" applyFill="1" applyAlignment="1">
      <alignment/>
    </xf>
    <xf numFmtId="0" fontId="6" fillId="0" borderId="0" xfId="0" applyNumberFormat="1" applyFont="1" applyFill="1" applyAlignment="1">
      <alignment/>
    </xf>
    <xf numFmtId="0" fontId="6" fillId="0" borderId="33" xfId="0" applyFont="1" applyFill="1" applyBorder="1" applyAlignment="1">
      <alignment/>
    </xf>
    <xf numFmtId="0" fontId="6" fillId="0" borderId="43" xfId="0" applyFont="1" applyFill="1" applyBorder="1" applyAlignment="1">
      <alignment/>
    </xf>
    <xf numFmtId="0" fontId="6" fillId="0" borderId="44" xfId="0" applyFont="1" applyFill="1" applyBorder="1" applyAlignment="1">
      <alignment/>
    </xf>
    <xf numFmtId="0" fontId="10" fillId="0" borderId="0" xfId="0" applyFont="1" applyFill="1" applyAlignment="1">
      <alignment/>
    </xf>
    <xf numFmtId="0" fontId="6" fillId="33" borderId="44" xfId="0" applyFont="1" applyFill="1" applyBorder="1" applyAlignment="1">
      <alignment horizontal="center"/>
    </xf>
    <xf numFmtId="0" fontId="6" fillId="0" borderId="0" xfId="0" applyFont="1" applyFill="1" applyBorder="1" applyAlignment="1">
      <alignment horizontal="center"/>
    </xf>
    <xf numFmtId="0" fontId="6" fillId="0" borderId="44" xfId="0" applyFont="1" applyFill="1" applyBorder="1" applyAlignment="1">
      <alignment horizontal="center"/>
    </xf>
    <xf numFmtId="0" fontId="6" fillId="33" borderId="45" xfId="0" applyFont="1" applyFill="1" applyBorder="1" applyAlignment="1">
      <alignment horizontal="center"/>
    </xf>
    <xf numFmtId="0" fontId="6" fillId="33" borderId="22" xfId="0" applyFont="1" applyFill="1" applyBorder="1" applyAlignment="1">
      <alignment horizontal="center"/>
    </xf>
    <xf numFmtId="0" fontId="6" fillId="0" borderId="25" xfId="0" applyFont="1" applyFill="1" applyBorder="1" applyAlignment="1">
      <alignment/>
    </xf>
    <xf numFmtId="0" fontId="6" fillId="0" borderId="26" xfId="0" applyFont="1" applyFill="1" applyBorder="1" applyAlignment="1">
      <alignment/>
    </xf>
    <xf numFmtId="0" fontId="6" fillId="0" borderId="26" xfId="0" applyFont="1" applyFill="1" applyBorder="1" applyAlignment="1">
      <alignment horizontal="left"/>
    </xf>
    <xf numFmtId="0" fontId="6" fillId="0" borderId="26" xfId="0" applyFont="1" applyFill="1" applyBorder="1" applyAlignment="1">
      <alignment horizontal="center"/>
    </xf>
    <xf numFmtId="0" fontId="6" fillId="0" borderId="27" xfId="0" applyFont="1" applyFill="1" applyBorder="1" applyAlignment="1">
      <alignment horizontal="center"/>
    </xf>
    <xf numFmtId="0" fontId="6" fillId="0" borderId="12" xfId="0" applyFont="1" applyFill="1" applyBorder="1" applyAlignment="1">
      <alignment horizontal="center"/>
    </xf>
    <xf numFmtId="0" fontId="10" fillId="0" borderId="15" xfId="0" applyFont="1" applyFill="1" applyBorder="1" applyAlignment="1">
      <alignment/>
    </xf>
    <xf numFmtId="0" fontId="6" fillId="0" borderId="16" xfId="0" applyFont="1" applyFill="1" applyBorder="1" applyAlignment="1">
      <alignment horizontal="center"/>
    </xf>
    <xf numFmtId="0" fontId="6" fillId="0" borderId="18" xfId="0" applyFont="1" applyFill="1" applyBorder="1" applyAlignment="1">
      <alignment horizontal="center"/>
    </xf>
    <xf numFmtId="0" fontId="6" fillId="33" borderId="46" xfId="0" applyFont="1" applyFill="1" applyBorder="1" applyAlignment="1">
      <alignment horizontal="center"/>
    </xf>
    <xf numFmtId="0" fontId="6" fillId="33" borderId="47" xfId="0" applyFont="1" applyFill="1" applyBorder="1" applyAlignment="1">
      <alignment horizontal="center"/>
    </xf>
    <xf numFmtId="0" fontId="0" fillId="0" borderId="0" xfId="60" applyFont="1" applyFill="1">
      <alignment/>
      <protection/>
    </xf>
    <xf numFmtId="0" fontId="0" fillId="0" borderId="0" xfId="60" applyFont="1" applyFill="1" applyAlignment="1">
      <alignment vertical="center"/>
      <protection/>
    </xf>
    <xf numFmtId="0" fontId="7" fillId="0" borderId="0" xfId="60" applyFont="1" applyFill="1" applyBorder="1">
      <alignment/>
      <protection/>
    </xf>
    <xf numFmtId="0" fontId="0" fillId="0" borderId="0" xfId="60" applyFont="1" applyFill="1" applyBorder="1">
      <alignment/>
      <protection/>
    </xf>
    <xf numFmtId="0" fontId="0" fillId="34" borderId="0" xfId="60" applyFont="1" applyFill="1" applyBorder="1" applyProtection="1">
      <alignment/>
      <protection/>
    </xf>
    <xf numFmtId="0" fontId="7" fillId="34" borderId="0" xfId="60" applyFont="1" applyFill="1" applyBorder="1" applyProtection="1">
      <alignment/>
      <protection/>
    </xf>
    <xf numFmtId="0" fontId="7" fillId="34" borderId="0" xfId="60" applyFont="1" applyFill="1" applyBorder="1" applyAlignment="1" applyProtection="1">
      <alignment horizontal="right"/>
      <protection/>
    </xf>
    <xf numFmtId="0" fontId="0" fillId="34" borderId="0" xfId="60" applyFont="1" applyFill="1" applyBorder="1" applyAlignment="1" applyProtection="1">
      <alignment vertical="center"/>
      <protection/>
    </xf>
    <xf numFmtId="0" fontId="7" fillId="34" borderId="0" xfId="60" applyFont="1" applyFill="1" applyBorder="1" applyAlignment="1" applyProtection="1">
      <alignment vertical="center"/>
      <protection/>
    </xf>
    <xf numFmtId="0" fontId="9" fillId="34" borderId="0" xfId="0" applyFont="1" applyFill="1" applyAlignment="1">
      <alignment horizontal="right" vertical="center"/>
    </xf>
    <xf numFmtId="0" fontId="17" fillId="34" borderId="0" xfId="60" applyFont="1" applyFill="1" applyBorder="1" applyAlignment="1" applyProtection="1">
      <alignment horizontal="right" vertical="center"/>
      <protection/>
    </xf>
    <xf numFmtId="0" fontId="0" fillId="34" borderId="48" xfId="60" applyFont="1" applyFill="1" applyBorder="1" applyAlignment="1" applyProtection="1">
      <alignment vertical="center"/>
      <protection/>
    </xf>
    <xf numFmtId="0" fontId="9" fillId="34" borderId="48" xfId="0" applyFont="1" applyFill="1" applyBorder="1" applyAlignment="1">
      <alignment horizontal="right" vertical="center"/>
    </xf>
    <xf numFmtId="0" fontId="30" fillId="34" borderId="0" xfId="0" applyFont="1" applyFill="1" applyAlignment="1">
      <alignment horizontal="right" vertical="center"/>
    </xf>
    <xf numFmtId="0" fontId="24" fillId="34" borderId="0" xfId="60" applyFont="1" applyFill="1" applyBorder="1" applyAlignment="1" applyProtection="1">
      <alignment horizontal="left" vertical="center"/>
      <protection/>
    </xf>
    <xf numFmtId="0" fontId="30" fillId="34" borderId="0" xfId="0" applyFont="1" applyFill="1" applyBorder="1" applyAlignment="1">
      <alignment horizontal="right" vertical="center"/>
    </xf>
    <xf numFmtId="14" fontId="24" fillId="34" borderId="0" xfId="60" applyNumberFormat="1" applyFont="1" applyFill="1" applyBorder="1" applyAlignment="1" applyProtection="1">
      <alignment horizontal="left" vertical="center"/>
      <protection/>
    </xf>
    <xf numFmtId="0" fontId="30" fillId="34" borderId="0" xfId="0" applyFont="1" applyFill="1" applyAlignment="1">
      <alignment horizontal="right"/>
    </xf>
    <xf numFmtId="14" fontId="24" fillId="34" borderId="0" xfId="60" applyNumberFormat="1" applyFont="1" applyFill="1" applyBorder="1" applyAlignment="1" applyProtection="1">
      <alignment horizontal="left"/>
      <protection/>
    </xf>
    <xf numFmtId="0" fontId="0" fillId="34" borderId="0" xfId="60" applyFont="1" applyFill="1" applyBorder="1" applyAlignment="1" applyProtection="1">
      <alignment horizontal="right"/>
      <protection/>
    </xf>
    <xf numFmtId="0" fontId="0" fillId="34" borderId="38" xfId="60" applyFont="1" applyFill="1" applyBorder="1" applyProtection="1">
      <alignment/>
      <protection/>
    </xf>
    <xf numFmtId="0" fontId="0" fillId="34" borderId="30" xfId="60" applyFont="1" applyFill="1" applyBorder="1" applyProtection="1">
      <alignment/>
      <protection/>
    </xf>
    <xf numFmtId="0" fontId="0" fillId="34" borderId="32" xfId="60" applyFont="1" applyFill="1" applyBorder="1" applyProtection="1">
      <alignment/>
      <protection/>
    </xf>
    <xf numFmtId="0" fontId="0" fillId="34" borderId="29" xfId="60" applyFont="1" applyFill="1" applyBorder="1" applyProtection="1">
      <alignment/>
      <protection/>
    </xf>
    <xf numFmtId="0" fontId="0" fillId="34" borderId="0" xfId="60" applyFont="1" applyFill="1" applyBorder="1">
      <alignment/>
      <protection/>
    </xf>
    <xf numFmtId="0" fontId="0" fillId="34" borderId="36" xfId="60" applyFont="1" applyFill="1" applyBorder="1" applyProtection="1">
      <alignment/>
      <protection/>
    </xf>
    <xf numFmtId="0" fontId="0" fillId="34" borderId="0" xfId="60" applyFont="1" applyFill="1" applyProtection="1">
      <alignment/>
      <protection/>
    </xf>
    <xf numFmtId="0" fontId="0" fillId="34" borderId="0" xfId="60" applyFont="1" applyFill="1">
      <alignment/>
      <protection/>
    </xf>
    <xf numFmtId="0" fontId="7" fillId="34" borderId="28" xfId="60" applyFont="1" applyFill="1" applyBorder="1" applyProtection="1">
      <alignment/>
      <protection/>
    </xf>
    <xf numFmtId="0" fontId="7" fillId="34" borderId="29" xfId="60" applyFont="1" applyFill="1" applyBorder="1" applyProtection="1">
      <alignment/>
      <protection/>
    </xf>
    <xf numFmtId="0" fontId="7" fillId="34" borderId="29" xfId="60" applyFont="1" applyFill="1" applyBorder="1" applyAlignment="1" applyProtection="1">
      <alignment horizontal="center"/>
      <protection/>
    </xf>
    <xf numFmtId="0" fontId="7" fillId="34" borderId="30" xfId="60" applyFont="1" applyFill="1" applyBorder="1" applyAlignment="1" applyProtection="1">
      <alignment horizontal="center"/>
      <protection/>
    </xf>
    <xf numFmtId="0" fontId="0" fillId="34" borderId="0" xfId="60" applyFont="1" applyFill="1" applyBorder="1" applyAlignment="1">
      <alignment horizontal="right"/>
      <protection/>
    </xf>
    <xf numFmtId="0" fontId="0" fillId="34" borderId="31" xfId="60" applyFont="1" applyFill="1" applyBorder="1" applyProtection="1">
      <alignment/>
      <protection/>
    </xf>
    <xf numFmtId="0" fontId="0" fillId="34" borderId="28" xfId="60" applyFont="1" applyFill="1" applyBorder="1" applyAlignment="1" applyProtection="1">
      <alignment horizontal="right"/>
      <protection/>
    </xf>
    <xf numFmtId="0" fontId="0" fillId="34" borderId="14" xfId="60" applyFont="1" applyFill="1" applyBorder="1" applyAlignment="1" applyProtection="1">
      <alignment horizontal="center"/>
      <protection/>
    </xf>
    <xf numFmtId="0" fontId="0" fillId="34" borderId="33" xfId="60" applyFont="1" applyFill="1" applyBorder="1" applyProtection="1">
      <alignment/>
      <protection/>
    </xf>
    <xf numFmtId="15" fontId="0" fillId="34" borderId="31" xfId="60" applyNumberFormat="1" applyFont="1" applyFill="1" applyBorder="1" applyAlignment="1" applyProtection="1">
      <alignment horizontal="right"/>
      <protection/>
    </xf>
    <xf numFmtId="0" fontId="17" fillId="34" borderId="13" xfId="60" applyNumberFormat="1" applyFont="1" applyFill="1" applyBorder="1" applyAlignment="1" applyProtection="1">
      <alignment horizontal="right"/>
      <protection/>
    </xf>
    <xf numFmtId="15" fontId="0" fillId="34" borderId="28" xfId="60" applyNumberFormat="1" applyFont="1" applyFill="1" applyBorder="1" applyAlignment="1" applyProtection="1">
      <alignment horizontal="right"/>
      <protection/>
    </xf>
    <xf numFmtId="15" fontId="0" fillId="34" borderId="33" xfId="60" applyNumberFormat="1" applyFont="1" applyFill="1" applyBorder="1" applyAlignment="1" applyProtection="1">
      <alignment horizontal="right"/>
      <protection/>
    </xf>
    <xf numFmtId="15" fontId="0" fillId="34" borderId="49" xfId="60" applyNumberFormat="1" applyFont="1" applyFill="1" applyBorder="1" applyAlignment="1" applyProtection="1">
      <alignment horizontal="right"/>
      <protection/>
    </xf>
    <xf numFmtId="0" fontId="17" fillId="34" borderId="50" xfId="60" applyNumberFormat="1" applyFont="1" applyFill="1" applyBorder="1" applyAlignment="1" applyProtection="1">
      <alignment horizontal="right"/>
      <protection/>
    </xf>
    <xf numFmtId="0" fontId="17" fillId="34" borderId="44" xfId="60" applyNumberFormat="1" applyFont="1" applyFill="1" applyBorder="1" applyAlignment="1" applyProtection="1">
      <alignment horizontal="right"/>
      <protection/>
    </xf>
    <xf numFmtId="0" fontId="0" fillId="34" borderId="35" xfId="60" applyFont="1" applyFill="1" applyBorder="1" applyProtection="1">
      <alignment/>
      <protection/>
    </xf>
    <xf numFmtId="168" fontId="0" fillId="34" borderId="13" xfId="60" applyNumberFormat="1" applyFont="1" applyFill="1" applyBorder="1" applyAlignment="1" applyProtection="1">
      <alignment horizontal="right"/>
      <protection/>
    </xf>
    <xf numFmtId="168" fontId="0" fillId="34" borderId="0" xfId="60" applyNumberFormat="1" applyFont="1" applyFill="1" applyBorder="1" applyProtection="1">
      <alignment/>
      <protection/>
    </xf>
    <xf numFmtId="0" fontId="0" fillId="34" borderId="37" xfId="60" applyFont="1" applyFill="1" applyBorder="1" applyProtection="1">
      <alignment/>
      <protection/>
    </xf>
    <xf numFmtId="0" fontId="0" fillId="34" borderId="13" xfId="60" applyFont="1" applyFill="1" applyBorder="1" applyAlignment="1" applyProtection="1">
      <alignment horizontal="right"/>
      <protection/>
    </xf>
    <xf numFmtId="0" fontId="0" fillId="34" borderId="14" xfId="60" applyFont="1" applyFill="1" applyBorder="1" applyAlignment="1" applyProtection="1">
      <alignment horizontal="right"/>
      <protection/>
    </xf>
    <xf numFmtId="0" fontId="0" fillId="34" borderId="34" xfId="60" applyFont="1" applyFill="1" applyBorder="1" applyProtection="1">
      <alignment/>
      <protection/>
    </xf>
    <xf numFmtId="15" fontId="0" fillId="34" borderId="13" xfId="60" applyNumberFormat="1" applyFont="1" applyFill="1" applyBorder="1" applyAlignment="1" applyProtection="1">
      <alignment horizontal="right"/>
      <protection/>
    </xf>
    <xf numFmtId="0" fontId="52" fillId="34" borderId="44" xfId="60" applyNumberFormat="1" applyFont="1" applyFill="1" applyBorder="1" applyAlignment="1" applyProtection="1">
      <alignment horizontal="right"/>
      <protection/>
    </xf>
    <xf numFmtId="15" fontId="0" fillId="34" borderId="50" xfId="60" applyNumberFormat="1" applyFont="1" applyFill="1" applyBorder="1" applyAlignment="1" applyProtection="1">
      <alignment horizontal="right"/>
      <protection/>
    </xf>
    <xf numFmtId="15" fontId="0" fillId="34" borderId="44" xfId="60" applyNumberFormat="1" applyFont="1" applyFill="1" applyBorder="1" applyAlignment="1" applyProtection="1">
      <alignment horizontal="right"/>
      <protection/>
    </xf>
    <xf numFmtId="15" fontId="0" fillId="34" borderId="14" xfId="60" applyNumberFormat="1" applyFont="1" applyFill="1" applyBorder="1" applyAlignment="1" applyProtection="1">
      <alignment horizontal="right"/>
      <protection/>
    </xf>
    <xf numFmtId="0" fontId="0" fillId="34" borderId="13" xfId="60" applyNumberFormat="1" applyFont="1" applyFill="1" applyBorder="1" applyAlignment="1" applyProtection="1">
      <alignment horizontal="right"/>
      <protection/>
    </xf>
    <xf numFmtId="0" fontId="0" fillId="34" borderId="30" xfId="60" applyFont="1" applyFill="1" applyBorder="1" applyAlignment="1" applyProtection="1">
      <alignment horizontal="left"/>
      <protection/>
    </xf>
    <xf numFmtId="0" fontId="0" fillId="34" borderId="13" xfId="60" applyFont="1" applyFill="1" applyBorder="1" applyAlignment="1" applyProtection="1">
      <alignment horizontal="left"/>
      <protection/>
    </xf>
    <xf numFmtId="0" fontId="0" fillId="34" borderId="30" xfId="60" applyNumberFormat="1" applyFont="1" applyFill="1" applyBorder="1" applyAlignment="1" applyProtection="1">
      <alignment horizontal="right"/>
      <protection/>
    </xf>
    <xf numFmtId="0" fontId="0" fillId="34" borderId="51" xfId="60" applyNumberFormat="1" applyFont="1" applyFill="1" applyBorder="1" applyAlignment="1" applyProtection="1">
      <alignment horizontal="right"/>
      <protection/>
    </xf>
    <xf numFmtId="0" fontId="0" fillId="34" borderId="50" xfId="60" applyNumberFormat="1" applyFont="1" applyFill="1" applyBorder="1" applyAlignment="1" applyProtection="1">
      <alignment horizontal="right"/>
      <protection/>
    </xf>
    <xf numFmtId="0" fontId="0" fillId="34" borderId="38" xfId="60" applyNumberFormat="1" applyFont="1" applyFill="1" applyBorder="1" applyAlignment="1" applyProtection="1">
      <alignment horizontal="right"/>
      <protection/>
    </xf>
    <xf numFmtId="0" fontId="0" fillId="34" borderId="44" xfId="60" applyNumberFormat="1" applyFont="1" applyFill="1" applyBorder="1" applyAlignment="1" applyProtection="1">
      <alignment horizontal="right"/>
      <protection/>
    </xf>
    <xf numFmtId="0" fontId="0" fillId="34" borderId="37" xfId="60" applyNumberFormat="1" applyFont="1" applyFill="1" applyBorder="1" applyAlignment="1" applyProtection="1">
      <alignment horizontal="right"/>
      <protection/>
    </xf>
    <xf numFmtId="0" fontId="0" fillId="34" borderId="14" xfId="60" applyNumberFormat="1" applyFont="1" applyFill="1" applyBorder="1" applyAlignment="1" applyProtection="1">
      <alignment horizontal="right"/>
      <protection/>
    </xf>
    <xf numFmtId="15" fontId="0" fillId="34" borderId="52" xfId="60" applyNumberFormat="1" applyFont="1" applyFill="1" applyBorder="1" applyAlignment="1" applyProtection="1">
      <alignment horizontal="right"/>
      <protection/>
    </xf>
    <xf numFmtId="0" fontId="0" fillId="34" borderId="53" xfId="60" applyNumberFormat="1" applyFont="1" applyFill="1" applyBorder="1" applyProtection="1">
      <alignment/>
      <protection/>
    </xf>
    <xf numFmtId="0" fontId="0" fillId="34" borderId="52" xfId="60" applyNumberFormat="1" applyFont="1" applyFill="1" applyBorder="1" applyProtection="1">
      <alignment/>
      <protection/>
    </xf>
    <xf numFmtId="15" fontId="0" fillId="34" borderId="30" xfId="60" applyNumberFormat="1" applyFont="1" applyFill="1" applyBorder="1" applyAlignment="1" applyProtection="1">
      <alignment horizontal="right"/>
      <protection/>
    </xf>
    <xf numFmtId="0" fontId="0" fillId="34" borderId="28" xfId="60" applyNumberFormat="1" applyFont="1" applyFill="1" applyBorder="1" applyProtection="1">
      <alignment/>
      <protection/>
    </xf>
    <xf numFmtId="0" fontId="0" fillId="34" borderId="30" xfId="60" applyNumberFormat="1" applyFont="1" applyFill="1" applyBorder="1" applyProtection="1">
      <alignment/>
      <protection/>
    </xf>
    <xf numFmtId="0" fontId="0" fillId="34" borderId="31" xfId="60" applyNumberFormat="1" applyFont="1" applyFill="1" applyBorder="1" applyAlignment="1" applyProtection="1">
      <alignment horizontal="right"/>
      <protection/>
    </xf>
    <xf numFmtId="168" fontId="52" fillId="34" borderId="13" xfId="60" applyNumberFormat="1" applyFont="1" applyFill="1" applyBorder="1" applyAlignment="1" applyProtection="1">
      <alignment horizontal="right"/>
      <protection/>
    </xf>
    <xf numFmtId="0" fontId="0" fillId="34" borderId="49" xfId="60" applyNumberFormat="1" applyFont="1" applyFill="1" applyBorder="1" applyAlignment="1" applyProtection="1">
      <alignment horizontal="right"/>
      <protection/>
    </xf>
    <xf numFmtId="168" fontId="52" fillId="34" borderId="50" xfId="60" applyNumberFormat="1" applyFont="1" applyFill="1" applyBorder="1" applyAlignment="1" applyProtection="1">
      <alignment horizontal="right"/>
      <protection/>
    </xf>
    <xf numFmtId="0" fontId="0" fillId="34" borderId="33" xfId="60" applyNumberFormat="1" applyFont="1" applyFill="1" applyBorder="1" applyAlignment="1" applyProtection="1">
      <alignment horizontal="right"/>
      <protection/>
    </xf>
    <xf numFmtId="168" fontId="52" fillId="34" borderId="44" xfId="60" applyNumberFormat="1" applyFont="1" applyFill="1" applyBorder="1" applyAlignment="1" applyProtection="1">
      <alignment horizontal="right"/>
      <protection/>
    </xf>
    <xf numFmtId="0" fontId="52" fillId="34" borderId="28" xfId="60" applyFont="1" applyFill="1" applyBorder="1" applyAlignment="1" applyProtection="1">
      <alignment horizontal="left"/>
      <protection/>
    </xf>
    <xf numFmtId="0" fontId="52" fillId="34" borderId="29" xfId="60" applyFont="1" applyFill="1" applyBorder="1" applyAlignment="1" applyProtection="1">
      <alignment horizontal="right"/>
      <protection/>
    </xf>
    <xf numFmtId="0" fontId="52" fillId="34" borderId="30" xfId="60" applyFont="1" applyFill="1" applyBorder="1" applyAlignment="1" applyProtection="1">
      <alignment horizontal="right"/>
      <protection/>
    </xf>
    <xf numFmtId="0" fontId="52" fillId="34" borderId="13" xfId="60" applyFont="1" applyFill="1" applyBorder="1" applyAlignment="1" applyProtection="1">
      <alignment horizontal="right"/>
      <protection/>
    </xf>
    <xf numFmtId="0" fontId="0" fillId="34" borderId="0" xfId="60" applyFont="1" applyFill="1" applyBorder="1" applyProtection="1">
      <alignment/>
      <protection locked="0"/>
    </xf>
    <xf numFmtId="0" fontId="0" fillId="34" borderId="0" xfId="60" applyFont="1" applyFill="1" applyBorder="1" applyAlignment="1" applyProtection="1">
      <alignment horizontal="center"/>
      <protection/>
    </xf>
    <xf numFmtId="0" fontId="7" fillId="35" borderId="0" xfId="59" applyFont="1" applyFill="1" applyBorder="1" applyAlignment="1">
      <alignment horizontal="center"/>
      <protection/>
    </xf>
    <xf numFmtId="165" fontId="0" fillId="34" borderId="54" xfId="59" applyNumberFormat="1" applyFont="1" applyFill="1" applyBorder="1" applyAlignment="1">
      <alignment horizontal="center"/>
      <protection/>
    </xf>
    <xf numFmtId="165" fontId="0" fillId="34" borderId="55" xfId="59" applyNumberFormat="1" applyFont="1" applyFill="1" applyBorder="1" applyAlignment="1">
      <alignment horizontal="center"/>
      <protection/>
    </xf>
    <xf numFmtId="165" fontId="0" fillId="34" borderId="56" xfId="59" applyNumberFormat="1" applyFont="1" applyFill="1" applyBorder="1" applyAlignment="1">
      <alignment horizontal="center"/>
      <protection/>
    </xf>
    <xf numFmtId="165" fontId="0" fillId="34" borderId="57" xfId="59" applyNumberFormat="1" applyFont="1" applyFill="1" applyBorder="1" applyAlignment="1">
      <alignment horizontal="center"/>
      <protection/>
    </xf>
    <xf numFmtId="165" fontId="0" fillId="34" borderId="58" xfId="59" applyNumberFormat="1" applyFont="1" applyFill="1" applyBorder="1" applyAlignment="1">
      <alignment horizontal="center"/>
      <protection/>
    </xf>
    <xf numFmtId="165" fontId="0" fillId="34" borderId="59" xfId="59" applyNumberFormat="1" applyFont="1" applyFill="1" applyBorder="1" applyAlignment="1">
      <alignment horizontal="center"/>
      <protection/>
    </xf>
    <xf numFmtId="165" fontId="0" fillId="34" borderId="60" xfId="59" applyNumberFormat="1" applyFont="1" applyFill="1" applyBorder="1" applyAlignment="1">
      <alignment horizontal="center"/>
      <protection/>
    </xf>
    <xf numFmtId="0" fontId="0" fillId="35" borderId="0" xfId="59" applyFont="1" applyFill="1" applyBorder="1" applyAlignment="1">
      <alignment horizontal="center"/>
      <protection/>
    </xf>
    <xf numFmtId="0" fontId="7" fillId="34" borderId="61" xfId="59" applyFont="1" applyFill="1" applyBorder="1" applyAlignment="1" applyProtection="1">
      <alignment horizontal="center"/>
      <protection locked="0"/>
    </xf>
    <xf numFmtId="0" fontId="7" fillId="34" borderId="62" xfId="59" applyFont="1" applyFill="1" applyBorder="1" applyAlignment="1" applyProtection="1">
      <alignment horizontal="center"/>
      <protection locked="0"/>
    </xf>
    <xf numFmtId="0" fontId="7" fillId="34" borderId="63" xfId="59" applyFont="1" applyFill="1" applyBorder="1" applyAlignment="1" applyProtection="1">
      <alignment horizontal="center"/>
      <protection locked="0"/>
    </xf>
    <xf numFmtId="0" fontId="7" fillId="34" borderId="64" xfId="59" applyFont="1" applyFill="1" applyBorder="1" applyAlignment="1">
      <alignment horizontal="center"/>
      <protection/>
    </xf>
    <xf numFmtId="0" fontId="7" fillId="34" borderId="65" xfId="59" applyFont="1" applyFill="1" applyBorder="1" applyAlignment="1">
      <alignment horizontal="center"/>
      <protection/>
    </xf>
    <xf numFmtId="0" fontId="7" fillId="34" borderId="66" xfId="59" applyFont="1" applyFill="1" applyBorder="1" applyAlignment="1">
      <alignment horizontal="center"/>
      <protection/>
    </xf>
    <xf numFmtId="0" fontId="0" fillId="0" borderId="58" xfId="59" applyNumberFormat="1" applyFont="1" applyFill="1" applyBorder="1" applyAlignment="1" applyProtection="1">
      <alignment horizontal="center"/>
      <protection locked="0"/>
    </xf>
    <xf numFmtId="0" fontId="0" fillId="0" borderId="59" xfId="59" applyNumberFormat="1" applyFont="1" applyFill="1" applyBorder="1" applyAlignment="1" applyProtection="1">
      <alignment horizontal="center"/>
      <protection locked="0"/>
    </xf>
    <xf numFmtId="0" fontId="0" fillId="0" borderId="67" xfId="59" applyNumberFormat="1" applyFont="1" applyFill="1" applyBorder="1" applyAlignment="1" applyProtection="1">
      <alignment horizontal="center"/>
      <protection locked="0"/>
    </xf>
    <xf numFmtId="0" fontId="0" fillId="0" borderId="60" xfId="59" applyNumberFormat="1" applyFont="1" applyFill="1" applyBorder="1" applyAlignment="1" applyProtection="1">
      <alignment horizontal="center"/>
      <protection locked="0"/>
    </xf>
    <xf numFmtId="0" fontId="0" fillId="0" borderId="68" xfId="59" applyNumberFormat="1" applyFont="1" applyFill="1" applyBorder="1" applyAlignment="1" applyProtection="1">
      <alignment horizontal="center"/>
      <protection locked="0"/>
    </xf>
    <xf numFmtId="0" fontId="0" fillId="0" borderId="69" xfId="59" applyNumberFormat="1" applyFont="1" applyFill="1" applyBorder="1" applyAlignment="1" applyProtection="1">
      <alignment horizontal="center"/>
      <protection locked="0"/>
    </xf>
    <xf numFmtId="0" fontId="0" fillId="0" borderId="70" xfId="59" applyNumberFormat="1" applyFont="1" applyFill="1" applyBorder="1" applyAlignment="1" applyProtection="1">
      <alignment horizontal="center"/>
      <protection locked="0"/>
    </xf>
    <xf numFmtId="0" fontId="0" fillId="0" borderId="71" xfId="59" applyNumberFormat="1" applyFont="1" applyFill="1" applyBorder="1" applyAlignment="1" applyProtection="1">
      <alignment horizontal="center"/>
      <protection locked="0"/>
    </xf>
    <xf numFmtId="0" fontId="0" fillId="0" borderId="72" xfId="59" applyNumberFormat="1" applyFont="1" applyFill="1" applyBorder="1" applyAlignment="1" applyProtection="1">
      <alignment horizontal="center"/>
      <protection locked="0"/>
    </xf>
    <xf numFmtId="0" fontId="0" fillId="35" borderId="0" xfId="59" applyFont="1" applyFill="1" applyBorder="1" applyProtection="1">
      <alignment/>
      <protection/>
    </xf>
    <xf numFmtId="0" fontId="0" fillId="35" borderId="0" xfId="59" applyFont="1" applyFill="1" applyBorder="1">
      <alignment/>
      <protection/>
    </xf>
    <xf numFmtId="0" fontId="0" fillId="35" borderId="0" xfId="59" applyFont="1" applyFill="1" applyBorder="1" applyAlignment="1" applyProtection="1">
      <alignment horizontal="right"/>
      <protection/>
    </xf>
    <xf numFmtId="0" fontId="0" fillId="35" borderId="0" xfId="59" applyFont="1" applyFill="1" applyAlignment="1" applyProtection="1">
      <alignment horizontal="right"/>
      <protection/>
    </xf>
    <xf numFmtId="0" fontId="0" fillId="35" borderId="0" xfId="59" applyFont="1" applyFill="1" applyProtection="1">
      <alignment/>
      <protection/>
    </xf>
    <xf numFmtId="0" fontId="0" fillId="35" borderId="0" xfId="59" applyFont="1" applyFill="1">
      <alignment/>
      <protection/>
    </xf>
    <xf numFmtId="4" fontId="0" fillId="35" borderId="0" xfId="59" applyNumberFormat="1" applyFont="1" applyFill="1" applyBorder="1" applyProtection="1">
      <alignment/>
      <protection/>
    </xf>
    <xf numFmtId="4" fontId="0" fillId="35" borderId="0" xfId="59" applyNumberFormat="1" applyFont="1" applyFill="1" applyProtection="1">
      <alignment/>
      <protection/>
    </xf>
    <xf numFmtId="4" fontId="0" fillId="35" borderId="0" xfId="59" applyNumberFormat="1" applyFont="1" applyFill="1" applyBorder="1" applyAlignment="1" applyProtection="1">
      <alignment horizontal="center"/>
      <protection locked="0"/>
    </xf>
    <xf numFmtId="4" fontId="56" fillId="35" borderId="0" xfId="59" applyNumberFormat="1" applyFont="1" applyFill="1" applyBorder="1" applyProtection="1">
      <alignment/>
      <protection/>
    </xf>
    <xf numFmtId="15" fontId="56" fillId="35" borderId="0" xfId="59" applyNumberFormat="1" applyFont="1" applyFill="1" applyBorder="1" applyProtection="1">
      <alignment/>
      <protection/>
    </xf>
    <xf numFmtId="0" fontId="7" fillId="35" borderId="0" xfId="59" applyFont="1" applyFill="1" applyBorder="1" applyAlignment="1" applyProtection="1">
      <alignment horizontal="left"/>
      <protection/>
    </xf>
    <xf numFmtId="0" fontId="0" fillId="35" borderId="11" xfId="59" applyFont="1" applyFill="1" applyBorder="1" applyProtection="1">
      <alignment/>
      <protection/>
    </xf>
    <xf numFmtId="0" fontId="0" fillId="35" borderId="0" xfId="59" applyFont="1" applyFill="1" applyBorder="1" applyAlignment="1" applyProtection="1">
      <alignment horizontal="left"/>
      <protection/>
    </xf>
    <xf numFmtId="0" fontId="0" fillId="35" borderId="34" xfId="59" applyFont="1" applyFill="1" applyBorder="1" applyProtection="1">
      <alignment/>
      <protection/>
    </xf>
    <xf numFmtId="0" fontId="0" fillId="35" borderId="10" xfId="59" applyFont="1" applyFill="1" applyBorder="1" applyAlignment="1" applyProtection="1">
      <alignment horizontal="right"/>
      <protection/>
    </xf>
    <xf numFmtId="0" fontId="0" fillId="35" borderId="73" xfId="59" applyFont="1" applyFill="1" applyBorder="1" applyAlignment="1" applyProtection="1">
      <alignment horizontal="right"/>
      <protection/>
    </xf>
    <xf numFmtId="0" fontId="0" fillId="35" borderId="74" xfId="59" applyFont="1" applyFill="1" applyBorder="1" applyAlignment="1" applyProtection="1">
      <alignment horizontal="right"/>
      <protection/>
    </xf>
    <xf numFmtId="0" fontId="0" fillId="35" borderId="19" xfId="59" applyFont="1" applyFill="1" applyBorder="1" applyProtection="1">
      <alignment/>
      <protection/>
    </xf>
    <xf numFmtId="4" fontId="0" fillId="35" borderId="11" xfId="59" applyNumberFormat="1" applyFont="1" applyFill="1" applyBorder="1" applyProtection="1">
      <alignment/>
      <protection/>
    </xf>
    <xf numFmtId="4" fontId="0" fillId="35" borderId="34" xfId="59" applyNumberFormat="1" applyFont="1" applyFill="1" applyBorder="1" applyProtection="1">
      <alignment/>
      <protection/>
    </xf>
    <xf numFmtId="4" fontId="0" fillId="35" borderId="43" xfId="59" applyNumberFormat="1" applyFont="1" applyFill="1" applyBorder="1" applyProtection="1">
      <alignment/>
      <protection/>
    </xf>
    <xf numFmtId="0" fontId="0" fillId="35" borderId="12" xfId="59" applyFont="1" applyFill="1" applyBorder="1" applyProtection="1">
      <alignment/>
      <protection/>
    </xf>
    <xf numFmtId="0" fontId="0" fillId="35" borderId="43" xfId="59" applyFont="1" applyFill="1" applyBorder="1" applyProtection="1">
      <alignment/>
      <protection/>
    </xf>
    <xf numFmtId="0" fontId="0" fillId="35" borderId="75" xfId="59" applyFont="1" applyFill="1" applyBorder="1" applyProtection="1">
      <alignment/>
      <protection/>
    </xf>
    <xf numFmtId="0" fontId="0" fillId="35" borderId="15" xfId="59" applyFont="1" applyFill="1" applyBorder="1" applyProtection="1">
      <alignment/>
      <protection/>
    </xf>
    <xf numFmtId="0" fontId="0" fillId="35" borderId="16" xfId="59" applyFont="1" applyFill="1" applyBorder="1" applyProtection="1">
      <alignment/>
      <protection/>
    </xf>
    <xf numFmtId="0" fontId="0" fillId="35" borderId="76" xfId="59" applyFont="1" applyFill="1" applyBorder="1" applyProtection="1">
      <alignment/>
      <protection/>
    </xf>
    <xf numFmtId="0" fontId="0" fillId="35" borderId="77" xfId="59" applyFont="1" applyFill="1" applyBorder="1" applyProtection="1">
      <alignment/>
      <protection/>
    </xf>
    <xf numFmtId="0" fontId="0" fillId="35" borderId="33" xfId="59" applyFont="1" applyFill="1" applyBorder="1" applyProtection="1">
      <alignment/>
      <protection/>
    </xf>
    <xf numFmtId="0" fontId="7" fillId="35" borderId="34" xfId="59" applyFont="1" applyFill="1" applyBorder="1" applyProtection="1">
      <alignment/>
      <protection/>
    </xf>
    <xf numFmtId="0" fontId="0" fillId="35" borderId="34" xfId="59" applyFont="1" applyFill="1" applyBorder="1" applyAlignment="1" applyProtection="1">
      <alignment horizontal="right"/>
      <protection/>
    </xf>
    <xf numFmtId="0" fontId="0" fillId="35" borderId="43" xfId="59" applyFont="1" applyFill="1" applyBorder="1" applyAlignment="1" applyProtection="1">
      <alignment horizontal="right"/>
      <protection/>
    </xf>
    <xf numFmtId="4" fontId="0" fillId="35" borderId="10" xfId="59" applyNumberFormat="1" applyFont="1" applyFill="1" applyBorder="1" applyProtection="1">
      <alignment/>
      <protection/>
    </xf>
    <xf numFmtId="4" fontId="0" fillId="35" borderId="73" xfId="59" applyNumberFormat="1" applyFont="1" applyFill="1" applyBorder="1" applyProtection="1">
      <alignment/>
      <protection/>
    </xf>
    <xf numFmtId="4" fontId="0" fillId="35" borderId="74" xfId="59" applyNumberFormat="1" applyFont="1" applyFill="1" applyBorder="1" applyProtection="1">
      <alignment/>
      <protection/>
    </xf>
    <xf numFmtId="0" fontId="7" fillId="35" borderId="78" xfId="59" applyFont="1" applyFill="1" applyBorder="1" applyAlignment="1" applyProtection="1">
      <alignment horizontal="left"/>
      <protection/>
    </xf>
    <xf numFmtId="0" fontId="0" fillId="35" borderId="10" xfId="59" applyFont="1" applyFill="1" applyBorder="1" applyProtection="1">
      <alignment/>
      <protection/>
    </xf>
    <xf numFmtId="0" fontId="0" fillId="35" borderId="73" xfId="59" applyFont="1" applyFill="1" applyBorder="1" applyProtection="1">
      <alignment/>
      <protection/>
    </xf>
    <xf numFmtId="0" fontId="0" fillId="35" borderId="74" xfId="59" applyFont="1" applyFill="1" applyBorder="1" applyProtection="1">
      <alignment/>
      <protection/>
    </xf>
    <xf numFmtId="0" fontId="0" fillId="35" borderId="79" xfId="59" applyFont="1" applyFill="1" applyBorder="1" applyProtection="1">
      <alignment/>
      <protection/>
    </xf>
    <xf numFmtId="0" fontId="7" fillId="35" borderId="28" xfId="59" applyFont="1" applyFill="1" applyBorder="1" applyProtection="1">
      <alignment/>
      <protection/>
    </xf>
    <xf numFmtId="0" fontId="7" fillId="35" borderId="29" xfId="59" applyFont="1" applyFill="1" applyBorder="1" applyProtection="1">
      <alignment/>
      <protection/>
    </xf>
    <xf numFmtId="0" fontId="7" fillId="35" borderId="30" xfId="59" applyFont="1" applyFill="1" applyBorder="1" applyProtection="1">
      <alignment/>
      <protection/>
    </xf>
    <xf numFmtId="0" fontId="0" fillId="35" borderId="43" xfId="59" applyNumberFormat="1" applyFont="1" applyFill="1" applyBorder="1" applyAlignment="1" applyProtection="1">
      <alignment horizontal="right"/>
      <protection/>
    </xf>
    <xf numFmtId="0" fontId="17" fillId="35" borderId="34" xfId="59" applyFont="1" applyFill="1" applyBorder="1" applyAlignment="1" applyProtection="1">
      <alignment horizontal="right"/>
      <protection/>
    </xf>
    <xf numFmtId="0" fontId="0" fillId="35" borderId="35" xfId="59" applyFont="1" applyFill="1" applyBorder="1" applyProtection="1">
      <alignment/>
      <protection/>
    </xf>
    <xf numFmtId="0" fontId="0" fillId="35" borderId="44" xfId="59" applyFont="1" applyFill="1" applyBorder="1" applyAlignment="1" applyProtection="1">
      <alignment horizontal="right"/>
      <protection/>
    </xf>
    <xf numFmtId="0" fontId="0" fillId="35" borderId="38" xfId="59" applyFont="1" applyFill="1" applyBorder="1" applyAlignment="1" applyProtection="1">
      <alignment horizontal="right"/>
      <protection/>
    </xf>
    <xf numFmtId="15" fontId="0" fillId="35" borderId="43" xfId="59" applyNumberFormat="1" applyFont="1" applyFill="1" applyBorder="1" applyAlignment="1" applyProtection="1">
      <alignment horizontal="right"/>
      <protection/>
    </xf>
    <xf numFmtId="0" fontId="17" fillId="35" borderId="43" xfId="59" applyFont="1" applyFill="1" applyBorder="1" applyAlignment="1" applyProtection="1">
      <alignment horizontal="right"/>
      <protection/>
    </xf>
    <xf numFmtId="0" fontId="0" fillId="34" borderId="0" xfId="59" applyFont="1" applyFill="1" applyBorder="1" applyProtection="1">
      <alignment/>
      <protection/>
    </xf>
    <xf numFmtId="0" fontId="7" fillId="34" borderId="0" xfId="59" applyFont="1" applyFill="1" applyBorder="1" applyProtection="1">
      <alignment/>
      <protection/>
    </xf>
    <xf numFmtId="0" fontId="7" fillId="34" borderId="0" xfId="59" applyFont="1" applyFill="1" applyBorder="1" applyAlignment="1" applyProtection="1">
      <alignment horizontal="right"/>
      <protection/>
    </xf>
    <xf numFmtId="0" fontId="16" fillId="34" borderId="0" xfId="0" applyFont="1" applyFill="1" applyAlignment="1">
      <alignment horizontal="right"/>
    </xf>
    <xf numFmtId="0" fontId="17" fillId="34" borderId="0" xfId="59" applyFont="1" applyFill="1" applyBorder="1" applyAlignment="1" applyProtection="1">
      <alignment horizontal="right"/>
      <protection/>
    </xf>
    <xf numFmtId="0" fontId="0" fillId="34" borderId="48" xfId="59" applyFont="1" applyFill="1" applyBorder="1" applyProtection="1">
      <alignment/>
      <protection/>
    </xf>
    <xf numFmtId="0" fontId="16" fillId="34" borderId="48" xfId="0" applyFont="1" applyFill="1" applyBorder="1" applyAlignment="1">
      <alignment horizontal="right"/>
    </xf>
    <xf numFmtId="0" fontId="7" fillId="34" borderId="48" xfId="59" applyFont="1" applyFill="1" applyBorder="1" applyProtection="1">
      <alignment/>
      <protection/>
    </xf>
    <xf numFmtId="0" fontId="24" fillId="34" borderId="0" xfId="59" applyFont="1" applyFill="1" applyBorder="1" applyAlignment="1" applyProtection="1">
      <alignment horizontal="left"/>
      <protection/>
    </xf>
    <xf numFmtId="0" fontId="16" fillId="34" borderId="0" xfId="0" applyFont="1" applyFill="1" applyBorder="1" applyAlignment="1">
      <alignment horizontal="right"/>
    </xf>
    <xf numFmtId="0" fontId="30" fillId="34" borderId="0" xfId="0" applyFont="1" applyFill="1" applyBorder="1" applyAlignment="1">
      <alignment horizontal="right"/>
    </xf>
    <xf numFmtId="14" fontId="24" fillId="34" borderId="0" xfId="59" applyNumberFormat="1" applyFont="1" applyFill="1" applyBorder="1" applyAlignment="1" applyProtection="1">
      <alignment horizontal="left"/>
      <protection/>
    </xf>
    <xf numFmtId="0" fontId="0" fillId="34" borderId="0" xfId="59" applyFont="1" applyFill="1" applyBorder="1">
      <alignment/>
      <protection/>
    </xf>
    <xf numFmtId="0" fontId="0" fillId="34" borderId="0" xfId="59" applyFont="1" applyFill="1">
      <alignment/>
      <protection/>
    </xf>
    <xf numFmtId="9" fontId="7" fillId="34" borderId="0" xfId="63" applyFont="1" applyFill="1" applyBorder="1" applyAlignment="1" applyProtection="1">
      <alignment horizontal="left"/>
      <protection/>
    </xf>
    <xf numFmtId="0" fontId="55" fillId="34" borderId="27" xfId="59" applyFont="1" applyFill="1" applyBorder="1" applyAlignment="1" applyProtection="1">
      <alignment horizontal="left"/>
      <protection locked="0"/>
    </xf>
    <xf numFmtId="0" fontId="0" fillId="34" borderId="0" xfId="59" applyFont="1" applyFill="1" applyBorder="1" applyAlignment="1" applyProtection="1">
      <alignment horizontal="center"/>
      <protection/>
    </xf>
    <xf numFmtId="14" fontId="0" fillId="34" borderId="0" xfId="59" applyNumberFormat="1" applyFont="1" applyFill="1" applyBorder="1" applyAlignment="1" applyProtection="1">
      <alignment horizontal="center"/>
      <protection locked="0"/>
    </xf>
    <xf numFmtId="0" fontId="7" fillId="34" borderId="0" xfId="59" applyFont="1" applyFill="1" applyBorder="1" applyAlignment="1" applyProtection="1">
      <alignment horizontal="center"/>
      <protection locked="0"/>
    </xf>
    <xf numFmtId="0" fontId="0" fillId="34" borderId="0" xfId="59" applyNumberFormat="1" applyFont="1" applyFill="1" applyBorder="1" applyAlignment="1" applyProtection="1">
      <alignment horizontal="center"/>
      <protection locked="0"/>
    </xf>
    <xf numFmtId="0" fontId="0" fillId="34" borderId="0" xfId="59" applyFont="1" applyFill="1" applyBorder="1" applyAlignment="1" applyProtection="1">
      <alignment horizontal="right"/>
      <protection/>
    </xf>
    <xf numFmtId="0" fontId="0" fillId="34" borderId="0" xfId="59" applyFont="1" applyFill="1" applyBorder="1" applyAlignment="1" applyProtection="1">
      <alignment vertical="center"/>
      <protection/>
    </xf>
    <xf numFmtId="0" fontId="0" fillId="34" borderId="0" xfId="59" applyFont="1" applyFill="1" applyBorder="1" applyAlignment="1" applyProtection="1">
      <alignment horizontal="right" vertical="center"/>
      <protection/>
    </xf>
    <xf numFmtId="0" fontId="7" fillId="0" borderId="13" xfId="59" applyFont="1" applyFill="1" applyBorder="1" applyAlignment="1" applyProtection="1">
      <alignment horizontal="center"/>
      <protection/>
    </xf>
    <xf numFmtId="9" fontId="7" fillId="0" borderId="13" xfId="63" applyFont="1" applyFill="1" applyBorder="1" applyAlignment="1" applyProtection="1">
      <alignment horizontal="center"/>
      <protection/>
    </xf>
    <xf numFmtId="0" fontId="0" fillId="34" borderId="0" xfId="59" applyFont="1" applyFill="1" applyBorder="1" applyAlignment="1" applyProtection="1">
      <alignment horizontal="center" vertical="center"/>
      <protection/>
    </xf>
    <xf numFmtId="0" fontId="0" fillId="35" borderId="0" xfId="0" applyFont="1" applyFill="1" applyAlignment="1">
      <alignment horizontal="center"/>
    </xf>
    <xf numFmtId="0" fontId="7" fillId="34" borderId="0" xfId="0" applyFont="1" applyFill="1" applyAlignment="1">
      <alignment horizontal="center"/>
    </xf>
    <xf numFmtId="0" fontId="7" fillId="34" borderId="62" xfId="0" applyFont="1" applyFill="1" applyBorder="1" applyAlignment="1">
      <alignment horizontal="center"/>
    </xf>
    <xf numFmtId="165" fontId="0" fillId="34" borderId="55" xfId="0" applyNumberFormat="1" applyFont="1" applyFill="1" applyBorder="1" applyAlignment="1">
      <alignment horizontal="center"/>
    </xf>
    <xf numFmtId="165" fontId="0" fillId="34" borderId="58" xfId="0" applyNumberFormat="1" applyFont="1" applyFill="1" applyBorder="1" applyAlignment="1">
      <alignment horizontal="center"/>
    </xf>
    <xf numFmtId="165" fontId="0" fillId="34" borderId="59" xfId="0" applyNumberFormat="1" applyFont="1" applyFill="1" applyBorder="1" applyAlignment="1">
      <alignment horizontal="center"/>
    </xf>
    <xf numFmtId="165" fontId="0" fillId="34" borderId="57" xfId="0" applyNumberFormat="1" applyFont="1" applyFill="1" applyBorder="1" applyAlignment="1">
      <alignment horizontal="center"/>
    </xf>
    <xf numFmtId="165" fontId="0" fillId="34" borderId="80" xfId="0" applyNumberFormat="1" applyFont="1" applyFill="1" applyBorder="1" applyAlignment="1">
      <alignment horizontal="center"/>
    </xf>
    <xf numFmtId="165" fontId="0" fillId="34" borderId="67" xfId="0" applyNumberFormat="1" applyFont="1" applyFill="1" applyBorder="1" applyAlignment="1">
      <alignment horizontal="center"/>
    </xf>
    <xf numFmtId="0" fontId="7" fillId="35" borderId="0" xfId="0" applyFont="1" applyFill="1" applyAlignment="1">
      <alignment horizontal="center"/>
    </xf>
    <xf numFmtId="0" fontId="0" fillId="0" borderId="0" xfId="60" applyFont="1" applyFill="1" applyAlignment="1">
      <alignment horizontal="center"/>
      <protection/>
    </xf>
    <xf numFmtId="15" fontId="56" fillId="34" borderId="0" xfId="60" applyNumberFormat="1" applyFont="1" applyFill="1" applyBorder="1" applyProtection="1">
      <alignment/>
      <protection/>
    </xf>
    <xf numFmtId="4" fontId="56" fillId="34" borderId="0" xfId="60" applyNumberFormat="1" applyFont="1" applyFill="1" applyBorder="1" applyProtection="1">
      <alignment/>
      <protection/>
    </xf>
    <xf numFmtId="0" fontId="7" fillId="34" borderId="0" xfId="60" applyFont="1" applyFill="1">
      <alignment/>
      <protection/>
    </xf>
    <xf numFmtId="0" fontId="9" fillId="34" borderId="25" xfId="59" applyFont="1" applyFill="1" applyBorder="1" applyProtection="1">
      <alignment/>
      <protection/>
    </xf>
    <xf numFmtId="14" fontId="0" fillId="0" borderId="13" xfId="60" applyNumberFormat="1" applyFont="1" applyFill="1" applyBorder="1" applyAlignment="1" applyProtection="1">
      <alignment horizontal="center"/>
      <protection/>
    </xf>
    <xf numFmtId="0" fontId="10" fillId="34" borderId="0" xfId="0" applyFont="1" applyFill="1" applyAlignment="1">
      <alignment/>
    </xf>
    <xf numFmtId="0" fontId="22" fillId="34" borderId="0" xfId="60" applyFont="1" applyFill="1" applyBorder="1" applyAlignment="1" applyProtection="1">
      <alignment/>
      <protection/>
    </xf>
    <xf numFmtId="0" fontId="7" fillId="0" borderId="81" xfId="59" applyFont="1" applyFill="1" applyBorder="1" applyAlignment="1" applyProtection="1">
      <alignment vertical="center"/>
      <protection/>
    </xf>
    <xf numFmtId="0" fontId="7" fillId="0" borderId="68" xfId="59" applyFont="1" applyFill="1" applyBorder="1" applyAlignment="1" applyProtection="1">
      <alignment vertical="center"/>
      <protection/>
    </xf>
    <xf numFmtId="0" fontId="7" fillId="0" borderId="82" xfId="59" applyFont="1" applyFill="1" applyBorder="1" applyAlignment="1" applyProtection="1">
      <alignment vertical="center"/>
      <protection/>
    </xf>
    <xf numFmtId="0" fontId="7" fillId="0" borderId="83" xfId="59" applyFont="1" applyFill="1" applyBorder="1" applyAlignment="1" applyProtection="1">
      <alignment vertical="center"/>
      <protection/>
    </xf>
    <xf numFmtId="0" fontId="0" fillId="34" borderId="25" xfId="0" applyFill="1" applyBorder="1" applyAlignment="1" applyProtection="1">
      <alignment horizontal="center" vertical="center"/>
      <protection/>
    </xf>
    <xf numFmtId="0" fontId="0" fillId="34" borderId="11" xfId="0" applyFill="1" applyBorder="1" applyAlignment="1" applyProtection="1">
      <alignment horizontal="center"/>
      <protection/>
    </xf>
    <xf numFmtId="0" fontId="0" fillId="34" borderId="11" xfId="0" applyFont="1" applyFill="1" applyBorder="1" applyAlignment="1" applyProtection="1">
      <alignment horizontal="center" wrapText="1"/>
      <protection/>
    </xf>
    <xf numFmtId="0" fontId="0" fillId="34" borderId="42" xfId="0" applyFont="1" applyFill="1" applyBorder="1" applyAlignment="1" applyProtection="1">
      <alignment horizontal="center" wrapText="1"/>
      <protection/>
    </xf>
    <xf numFmtId="0" fontId="0" fillId="34" borderId="42" xfId="0" applyFont="1" applyFill="1" applyBorder="1" applyAlignment="1" applyProtection="1">
      <alignment horizontal="center"/>
      <protection/>
    </xf>
    <xf numFmtId="0" fontId="0" fillId="34" borderId="11" xfId="0" applyFont="1" applyFill="1" applyBorder="1" applyAlignment="1" applyProtection="1">
      <alignment horizontal="left" vertical="center"/>
      <protection/>
    </xf>
    <xf numFmtId="0" fontId="0" fillId="34" borderId="15" xfId="0" applyFont="1" applyFill="1" applyBorder="1" applyAlignment="1" applyProtection="1">
      <alignment horizontal="left" vertical="center"/>
      <protection/>
    </xf>
    <xf numFmtId="1" fontId="52" fillId="34" borderId="11" xfId="0" applyNumberFormat="1" applyFont="1" applyFill="1" applyBorder="1" applyAlignment="1" applyProtection="1">
      <alignment horizontal="left" vertical="center"/>
      <protection/>
    </xf>
    <xf numFmtId="1" fontId="52" fillId="34" borderId="15" xfId="0" applyNumberFormat="1" applyFont="1" applyFill="1" applyBorder="1" applyAlignment="1" applyProtection="1">
      <alignment horizontal="left" vertical="center"/>
      <protection/>
    </xf>
    <xf numFmtId="0" fontId="0" fillId="34" borderId="0" xfId="0" applyFont="1" applyFill="1" applyAlignment="1">
      <alignment vertical="center"/>
    </xf>
    <xf numFmtId="0" fontId="22" fillId="34" borderId="0" xfId="0" applyFont="1" applyFill="1" applyAlignment="1">
      <alignment vertical="center"/>
    </xf>
    <xf numFmtId="0" fontId="0" fillId="35" borderId="0" xfId="0" applyFont="1" applyFill="1" applyAlignment="1">
      <alignment vertical="center"/>
    </xf>
    <xf numFmtId="0" fontId="8" fillId="34" borderId="0" xfId="0" applyFont="1" applyFill="1" applyAlignment="1">
      <alignment vertical="center"/>
    </xf>
    <xf numFmtId="0" fontId="0" fillId="34" borderId="48" xfId="0" applyFont="1" applyFill="1" applyBorder="1" applyAlignment="1">
      <alignment vertical="center"/>
    </xf>
    <xf numFmtId="0" fontId="8" fillId="34" borderId="48" xfId="0" applyFont="1" applyFill="1" applyBorder="1" applyAlignment="1">
      <alignment vertical="center"/>
    </xf>
    <xf numFmtId="0" fontId="9" fillId="34" borderId="48" xfId="0" applyFont="1" applyFill="1" applyBorder="1" applyAlignment="1">
      <alignment horizontal="left" vertical="center"/>
    </xf>
    <xf numFmtId="0" fontId="35" fillId="34" borderId="48" xfId="0" applyFont="1" applyFill="1" applyBorder="1" applyAlignment="1">
      <alignment vertical="center"/>
    </xf>
    <xf numFmtId="0" fontId="0" fillId="34" borderId="0" xfId="0" applyFont="1" applyFill="1" applyBorder="1" applyAlignment="1">
      <alignment vertical="center"/>
    </xf>
    <xf numFmtId="0" fontId="8" fillId="34" borderId="0" xfId="0" applyFont="1" applyFill="1" applyBorder="1" applyAlignment="1">
      <alignment vertical="center"/>
    </xf>
    <xf numFmtId="0" fontId="9" fillId="34" borderId="0" xfId="0" applyFont="1" applyFill="1" applyBorder="1" applyAlignment="1">
      <alignment horizontal="right" vertical="center"/>
    </xf>
    <xf numFmtId="49" fontId="24" fillId="34" borderId="0" xfId="0" applyNumberFormat="1" applyFont="1" applyFill="1" applyBorder="1" applyAlignment="1">
      <alignment horizontal="left" vertical="center"/>
    </xf>
    <xf numFmtId="49" fontId="35" fillId="34" borderId="0" xfId="0" applyNumberFormat="1" applyFont="1" applyFill="1" applyBorder="1" applyAlignment="1">
      <alignment horizontal="left" vertical="center"/>
    </xf>
    <xf numFmtId="0" fontId="0" fillId="35" borderId="0" xfId="0" applyFont="1" applyFill="1" applyBorder="1" applyAlignment="1">
      <alignment vertical="center"/>
    </xf>
    <xf numFmtId="0" fontId="24" fillId="34" borderId="0" xfId="0" applyFont="1" applyFill="1" applyAlignment="1">
      <alignment vertical="center"/>
    </xf>
    <xf numFmtId="0" fontId="0" fillId="34" borderId="17" xfId="0" applyFont="1" applyFill="1" applyBorder="1" applyAlignment="1">
      <alignment vertical="center"/>
    </xf>
    <xf numFmtId="0" fontId="0" fillId="34" borderId="19" xfId="0" applyFont="1" applyFill="1" applyBorder="1" applyAlignment="1">
      <alignment vertical="center"/>
    </xf>
    <xf numFmtId="0" fontId="0" fillId="34" borderId="15" xfId="0" applyFont="1" applyFill="1" applyBorder="1" applyAlignment="1">
      <alignment vertical="center"/>
    </xf>
    <xf numFmtId="0" fontId="0" fillId="34" borderId="16" xfId="0" applyFont="1" applyFill="1" applyBorder="1" applyAlignment="1">
      <alignment vertical="center"/>
    </xf>
    <xf numFmtId="0" fontId="0" fillId="34" borderId="18" xfId="0" applyFont="1" applyFill="1" applyBorder="1" applyAlignment="1">
      <alignment vertical="center"/>
    </xf>
    <xf numFmtId="0" fontId="0" fillId="34" borderId="26" xfId="0" applyFont="1" applyFill="1" applyBorder="1" applyAlignment="1">
      <alignment vertical="center"/>
    </xf>
    <xf numFmtId="0" fontId="0" fillId="34" borderId="0" xfId="0" applyFont="1" applyFill="1" applyBorder="1" applyAlignment="1">
      <alignment horizontal="center" vertical="center"/>
    </xf>
    <xf numFmtId="0" fontId="0" fillId="34" borderId="11" xfId="0" applyFont="1" applyFill="1" applyBorder="1" applyAlignment="1">
      <alignment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left" vertical="center"/>
    </xf>
    <xf numFmtId="0" fontId="0" fillId="34" borderId="86" xfId="0" applyFont="1" applyFill="1" applyBorder="1" applyAlignment="1">
      <alignment vertical="center"/>
    </xf>
    <xf numFmtId="0" fontId="0" fillId="34" borderId="87" xfId="0" applyFont="1" applyFill="1" applyBorder="1" applyAlignment="1">
      <alignment horizontal="left" vertical="center"/>
    </xf>
    <xf numFmtId="0" fontId="0" fillId="34" borderId="81" xfId="0" applyFont="1" applyFill="1" applyBorder="1" applyAlignment="1">
      <alignment vertical="center"/>
    </xf>
    <xf numFmtId="0" fontId="0" fillId="34" borderId="88" xfId="0" applyFont="1" applyFill="1" applyBorder="1" applyAlignment="1">
      <alignment vertical="center"/>
    </xf>
    <xf numFmtId="0" fontId="0" fillId="34" borderId="89" xfId="0" applyFont="1" applyFill="1" applyBorder="1" applyAlignment="1">
      <alignment horizontal="left" vertical="center"/>
    </xf>
    <xf numFmtId="0" fontId="0" fillId="34" borderId="90" xfId="0" applyFont="1" applyFill="1" applyBorder="1" applyAlignment="1">
      <alignment vertical="center"/>
    </xf>
    <xf numFmtId="0" fontId="0" fillId="34" borderId="0" xfId="0" applyFont="1" applyFill="1" applyBorder="1" applyAlignment="1">
      <alignment horizontal="left" vertical="center"/>
    </xf>
    <xf numFmtId="14" fontId="0" fillId="34" borderId="0" xfId="0" applyNumberFormat="1" applyFont="1" applyFill="1" applyBorder="1" applyAlignment="1">
      <alignment horizontal="center" vertical="center"/>
    </xf>
    <xf numFmtId="0" fontId="0" fillId="34" borderId="26" xfId="0" applyFont="1" applyFill="1" applyBorder="1" applyAlignment="1">
      <alignment horizontal="center" vertical="center"/>
    </xf>
    <xf numFmtId="14" fontId="0" fillId="34" borderId="86" xfId="0" applyNumberFormat="1" applyFont="1" applyFill="1" applyBorder="1" applyAlignment="1">
      <alignment horizontal="center" vertical="center"/>
    </xf>
    <xf numFmtId="14" fontId="0" fillId="34" borderId="81" xfId="0" applyNumberFormat="1" applyFont="1" applyFill="1" applyBorder="1" applyAlignment="1">
      <alignment horizontal="center" vertical="center"/>
    </xf>
    <xf numFmtId="14" fontId="0" fillId="34" borderId="90" xfId="0" applyNumberFormat="1" applyFont="1" applyFill="1" applyBorder="1" applyAlignment="1">
      <alignment horizontal="center" vertical="center"/>
    </xf>
    <xf numFmtId="0" fontId="10" fillId="35" borderId="0" xfId="0" applyFont="1" applyFill="1" applyBorder="1" applyAlignment="1">
      <alignment horizontal="center" vertical="center"/>
    </xf>
    <xf numFmtId="14" fontId="0" fillId="34" borderId="0" xfId="0" applyNumberFormat="1" applyFont="1" applyFill="1" applyBorder="1" applyAlignment="1">
      <alignment vertical="center"/>
    </xf>
    <xf numFmtId="0" fontId="0" fillId="34" borderId="27" xfId="0" applyFont="1" applyFill="1" applyBorder="1" applyAlignment="1">
      <alignment vertical="center"/>
    </xf>
    <xf numFmtId="14" fontId="0" fillId="34" borderId="16" xfId="0" applyNumberFormat="1" applyFont="1" applyFill="1" applyBorder="1" applyAlignment="1">
      <alignment vertical="center"/>
    </xf>
    <xf numFmtId="0" fontId="0" fillId="34" borderId="81"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10" xfId="0" applyFont="1" applyFill="1" applyBorder="1" applyAlignment="1">
      <alignment vertical="center"/>
    </xf>
    <xf numFmtId="0" fontId="0" fillId="34" borderId="12" xfId="0" applyFont="1" applyFill="1" applyBorder="1" applyAlignment="1">
      <alignment vertical="center"/>
    </xf>
    <xf numFmtId="2" fontId="0" fillId="34" borderId="0" xfId="0" applyNumberFormat="1" applyFont="1" applyFill="1" applyBorder="1" applyAlignment="1">
      <alignment vertical="center"/>
    </xf>
    <xf numFmtId="0" fontId="27" fillId="34" borderId="0" xfId="0" applyFont="1" applyFill="1" applyBorder="1" applyAlignment="1">
      <alignment vertical="center"/>
    </xf>
    <xf numFmtId="0" fontId="22"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35" fillId="35" borderId="29" xfId="0" applyFont="1" applyFill="1" applyBorder="1" applyAlignment="1">
      <alignment vertical="center"/>
    </xf>
    <xf numFmtId="0" fontId="0" fillId="35" borderId="29" xfId="0" applyFont="1" applyFill="1" applyBorder="1" applyAlignment="1">
      <alignment vertical="center"/>
    </xf>
    <xf numFmtId="0" fontId="0" fillId="35" borderId="30" xfId="0" applyFont="1" applyFill="1" applyBorder="1" applyAlignment="1">
      <alignment vertical="center"/>
    </xf>
    <xf numFmtId="49" fontId="35" fillId="35" borderId="29" xfId="0" applyNumberFormat="1" applyFont="1" applyFill="1" applyBorder="1" applyAlignment="1">
      <alignment horizontal="left" vertical="center"/>
    </xf>
    <xf numFmtId="0" fontId="8" fillId="35" borderId="91" xfId="0" applyFont="1" applyFill="1" applyBorder="1" applyAlignment="1">
      <alignment vertical="center"/>
    </xf>
    <xf numFmtId="0" fontId="0" fillId="35" borderId="91" xfId="0" applyFont="1" applyFill="1" applyBorder="1" applyAlignment="1">
      <alignment vertical="center"/>
    </xf>
    <xf numFmtId="0" fontId="0" fillId="35" borderId="51" xfId="0" applyFont="1" applyFill="1" applyBorder="1" applyAlignment="1">
      <alignment vertical="center"/>
    </xf>
    <xf numFmtId="0" fontId="0" fillId="0" borderId="0" xfId="0" applyFont="1" applyFill="1" applyBorder="1" applyAlignment="1">
      <alignment vertical="center"/>
    </xf>
    <xf numFmtId="0" fontId="10" fillId="34" borderId="0" xfId="0" applyFont="1" applyFill="1" applyAlignment="1">
      <alignment vertical="center"/>
    </xf>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87" xfId="0" applyFont="1" applyFill="1" applyBorder="1" applyAlignment="1">
      <alignment vertical="center"/>
    </xf>
    <xf numFmtId="0" fontId="8" fillId="35" borderId="57" xfId="0" applyFont="1" applyFill="1" applyBorder="1" applyAlignment="1">
      <alignment horizontal="center" vertical="center"/>
    </xf>
    <xf numFmtId="0" fontId="8" fillId="35" borderId="58" xfId="0" applyFont="1" applyFill="1" applyBorder="1" applyAlignment="1">
      <alignment horizontal="center" vertical="center"/>
    </xf>
    <xf numFmtId="0" fontId="8" fillId="35" borderId="93"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xf numFmtId="0" fontId="0" fillId="34" borderId="94" xfId="0" applyFont="1" applyFill="1" applyBorder="1" applyAlignment="1">
      <alignment vertical="center"/>
    </xf>
    <xf numFmtId="0" fontId="0" fillId="34" borderId="88" xfId="0" applyFont="1" applyFill="1" applyBorder="1" applyAlignment="1">
      <alignment horizontal="center" vertical="center"/>
    </xf>
    <xf numFmtId="0" fontId="8" fillId="35" borderId="95" xfId="0" applyFont="1" applyFill="1" applyBorder="1" applyAlignment="1">
      <alignment horizontal="center" vertical="center"/>
    </xf>
    <xf numFmtId="0" fontId="8" fillId="35" borderId="96" xfId="0" applyFont="1" applyFill="1" applyBorder="1" applyAlignment="1">
      <alignment horizontal="center" vertical="center"/>
    </xf>
    <xf numFmtId="0" fontId="8" fillId="35" borderId="9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34" borderId="16" xfId="0" applyFont="1" applyFill="1" applyBorder="1" applyAlignment="1">
      <alignment horizontal="center" vertical="center"/>
    </xf>
    <xf numFmtId="0" fontId="8" fillId="34" borderId="98" xfId="0" applyFont="1" applyFill="1" applyBorder="1" applyAlignment="1">
      <alignment horizontal="center" vertical="center"/>
    </xf>
    <xf numFmtId="0" fontId="8" fillId="34" borderId="99" xfId="0" applyFont="1" applyFill="1" applyBorder="1" applyAlignment="1">
      <alignment horizontal="center" vertical="center"/>
    </xf>
    <xf numFmtId="0" fontId="8" fillId="34" borderId="1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8" fillId="34" borderId="10" xfId="0" applyFont="1" applyFill="1" applyBorder="1" applyAlignment="1">
      <alignment vertical="center"/>
    </xf>
    <xf numFmtId="0" fontId="8" fillId="34" borderId="17" xfId="0" applyFont="1" applyFill="1" applyBorder="1" applyAlignment="1">
      <alignment vertical="center"/>
    </xf>
    <xf numFmtId="0" fontId="8" fillId="34" borderId="19" xfId="0" applyFont="1" applyFill="1" applyBorder="1" applyAlignment="1">
      <alignment vertical="center"/>
    </xf>
    <xf numFmtId="0" fontId="7" fillId="34" borderId="0" xfId="0" applyFont="1" applyFill="1" applyBorder="1" applyAlignment="1">
      <alignment vertical="center"/>
    </xf>
    <xf numFmtId="0" fontId="8" fillId="34" borderId="11" xfId="0" applyFont="1" applyFill="1" applyBorder="1" applyAlignment="1">
      <alignment vertical="center"/>
    </xf>
    <xf numFmtId="0" fontId="8" fillId="34" borderId="12" xfId="0" applyFont="1" applyFill="1" applyBorder="1" applyAlignment="1">
      <alignment vertical="center"/>
    </xf>
    <xf numFmtId="165" fontId="0" fillId="0" borderId="0" xfId="0" applyNumberFormat="1" applyFont="1" applyFill="1" applyBorder="1" applyAlignment="1">
      <alignment vertical="center"/>
    </xf>
    <xf numFmtId="0" fontId="9" fillId="34" borderId="85" xfId="0" applyFont="1" applyFill="1" applyBorder="1" applyAlignment="1">
      <alignment horizontal="center" vertical="center"/>
    </xf>
    <xf numFmtId="0" fontId="8" fillId="35" borderId="54" xfId="0" applyFont="1" applyFill="1" applyBorder="1" applyAlignment="1">
      <alignment horizontal="center" vertical="center"/>
    </xf>
    <xf numFmtId="0" fontId="8" fillId="35" borderId="55" xfId="0" applyFont="1" applyFill="1" applyBorder="1" applyAlignment="1">
      <alignment horizontal="center" vertical="center"/>
    </xf>
    <xf numFmtId="0" fontId="8" fillId="35"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2" xfId="0" applyFont="1" applyFill="1" applyBorder="1" applyAlignment="1">
      <alignment horizontal="center" vertical="center"/>
    </xf>
    <xf numFmtId="173" fontId="0" fillId="0" borderId="0" xfId="0" applyNumberFormat="1" applyFont="1" applyFill="1" applyBorder="1" applyAlignment="1">
      <alignment horizontal="center" vertical="center"/>
    </xf>
    <xf numFmtId="173" fontId="0" fillId="0" borderId="10"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9" fillId="34" borderId="87" xfId="0" applyFont="1" applyFill="1" applyBorder="1" applyAlignment="1">
      <alignment horizontal="center" vertical="center"/>
    </xf>
    <xf numFmtId="0" fontId="0" fillId="0" borderId="78" xfId="0" applyFont="1" applyFill="1" applyBorder="1" applyAlignment="1">
      <alignment horizontal="center" vertical="center"/>
    </xf>
    <xf numFmtId="168" fontId="0" fillId="0" borderId="0" xfId="0" applyNumberFormat="1" applyFont="1" applyFill="1" applyBorder="1" applyAlignment="1">
      <alignment vertical="center"/>
    </xf>
    <xf numFmtId="0" fontId="9" fillId="34" borderId="15" xfId="0" applyFont="1" applyFill="1" applyBorder="1" applyAlignment="1">
      <alignment horizontal="center" vertical="center"/>
    </xf>
    <xf numFmtId="0" fontId="8" fillId="35" borderId="80" xfId="0" applyFont="1" applyFill="1" applyBorder="1" applyAlignment="1">
      <alignment horizontal="center" vertical="center"/>
    </xf>
    <xf numFmtId="0" fontId="8" fillId="35" borderId="67" xfId="0" applyFont="1" applyFill="1" applyBorder="1" applyAlignment="1">
      <alignment horizontal="center" vertical="center"/>
    </xf>
    <xf numFmtId="0" fontId="8" fillId="35" borderId="60" xfId="0" applyFont="1" applyFill="1" applyBorder="1" applyAlignment="1">
      <alignment horizontal="center" vertical="center"/>
    </xf>
    <xf numFmtId="0" fontId="0" fillId="34" borderId="100" xfId="0" applyFont="1" applyFill="1" applyBorder="1" applyAlignment="1">
      <alignment vertical="center"/>
    </xf>
    <xf numFmtId="0" fontId="0" fillId="0" borderId="103" xfId="0" applyFont="1" applyFill="1" applyBorder="1" applyAlignment="1">
      <alignment horizontal="center" vertical="center"/>
    </xf>
    <xf numFmtId="0" fontId="0" fillId="34" borderId="93" xfId="0" applyFont="1" applyFill="1" applyBorder="1" applyAlignment="1">
      <alignment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15" xfId="0" applyFont="1" applyFill="1" applyBorder="1" applyAlignment="1">
      <alignment horizontal="left" vertical="center"/>
    </xf>
    <xf numFmtId="0" fontId="0" fillId="0" borderId="16" xfId="0" applyFont="1" applyFill="1" applyBorder="1" applyAlignment="1">
      <alignment horizontal="center" vertical="center"/>
    </xf>
    <xf numFmtId="170" fontId="8" fillId="34" borderId="0" xfId="0" applyNumberFormat="1" applyFont="1" applyFill="1" applyBorder="1" applyAlignment="1">
      <alignment horizontal="center" vertical="center"/>
    </xf>
    <xf numFmtId="173" fontId="0" fillId="0" borderId="0" xfId="0" applyNumberFormat="1" applyFont="1" applyFill="1" applyBorder="1" applyAlignment="1">
      <alignment vertical="center"/>
    </xf>
    <xf numFmtId="0" fontId="10" fillId="34" borderId="0" xfId="0" applyFont="1" applyFill="1" applyBorder="1" applyAlignment="1">
      <alignment vertical="center"/>
    </xf>
    <xf numFmtId="0" fontId="2" fillId="34" borderId="0" xfId="0" applyNumberFormat="1" applyFont="1" applyFill="1" applyAlignment="1" applyProtection="1">
      <alignment vertical="center"/>
      <protection locked="0"/>
    </xf>
    <xf numFmtId="0" fontId="0" fillId="34" borderId="17" xfId="0" applyFont="1" applyFill="1" applyBorder="1" applyAlignment="1">
      <alignment horizontal="center" vertical="center"/>
    </xf>
    <xf numFmtId="0" fontId="0" fillId="34" borderId="104" xfId="0" applyFont="1" applyFill="1" applyBorder="1" applyAlignment="1">
      <alignment vertical="center"/>
    </xf>
    <xf numFmtId="0" fontId="0" fillId="34" borderId="68" xfId="0" applyFont="1" applyFill="1" applyBorder="1" applyAlignment="1">
      <alignment vertical="center"/>
    </xf>
    <xf numFmtId="0" fontId="0" fillId="34" borderId="69" xfId="0" applyFont="1" applyFill="1" applyBorder="1" applyAlignment="1">
      <alignment vertical="center"/>
    </xf>
    <xf numFmtId="14" fontId="0" fillId="0" borderId="0" xfId="0" applyNumberFormat="1" applyFont="1" applyFill="1" applyBorder="1" applyAlignment="1">
      <alignment vertical="center"/>
    </xf>
    <xf numFmtId="168" fontId="8" fillId="34" borderId="54" xfId="0" applyNumberFormat="1" applyFont="1" applyFill="1" applyBorder="1" applyAlignment="1">
      <alignment horizontal="center" vertical="center"/>
    </xf>
    <xf numFmtId="168" fontId="8" fillId="34" borderId="55" xfId="0" applyNumberFormat="1" applyFont="1" applyFill="1" applyBorder="1" applyAlignment="1">
      <alignment horizontal="center" vertical="center"/>
    </xf>
    <xf numFmtId="168" fontId="8" fillId="34" borderId="56" xfId="0" applyNumberFormat="1" applyFont="1" applyFill="1" applyBorder="1" applyAlignment="1">
      <alignment horizontal="center" vertical="center"/>
    </xf>
    <xf numFmtId="0" fontId="8" fillId="34" borderId="57" xfId="0" applyNumberFormat="1" applyFont="1" applyFill="1" applyBorder="1" applyAlignment="1">
      <alignment horizontal="center" vertical="center"/>
    </xf>
    <xf numFmtId="0" fontId="8" fillId="34" borderId="58" xfId="0" applyNumberFormat="1" applyFont="1" applyFill="1" applyBorder="1" applyAlignment="1">
      <alignment horizontal="center" vertical="center"/>
    </xf>
    <xf numFmtId="0" fontId="8" fillId="34" borderId="59" xfId="0" applyNumberFormat="1" applyFont="1" applyFill="1" applyBorder="1" applyAlignment="1">
      <alignment horizontal="center" vertical="center"/>
    </xf>
    <xf numFmtId="0" fontId="8" fillId="34" borderId="80" xfId="0" applyNumberFormat="1" applyFont="1" applyFill="1" applyBorder="1" applyAlignment="1">
      <alignment horizontal="center" vertical="center"/>
    </xf>
    <xf numFmtId="0" fontId="8" fillId="34" borderId="67" xfId="0" applyNumberFormat="1" applyFont="1" applyFill="1" applyBorder="1" applyAlignment="1">
      <alignment horizontal="center" vertical="center"/>
    </xf>
    <xf numFmtId="0" fontId="8" fillId="34" borderId="60" xfId="0" applyNumberFormat="1" applyFont="1" applyFill="1" applyBorder="1" applyAlignment="1">
      <alignment horizontal="center" vertical="center"/>
    </xf>
    <xf numFmtId="0" fontId="0" fillId="34" borderId="0" xfId="0" applyFont="1" applyFill="1" applyBorder="1" applyAlignment="1">
      <alignment horizontal="left" vertical="center" wrapText="1"/>
    </xf>
    <xf numFmtId="49" fontId="9" fillId="34" borderId="0" xfId="0" applyNumberFormat="1" applyFont="1" applyFill="1" applyAlignment="1">
      <alignment horizontal="left" vertical="center"/>
    </xf>
    <xf numFmtId="49" fontId="9" fillId="34" borderId="48" xfId="0" applyNumberFormat="1" applyFont="1" applyFill="1" applyBorder="1" applyAlignment="1">
      <alignment horizontal="left" vertical="center"/>
    </xf>
    <xf numFmtId="170" fontId="0" fillId="34" borderId="0" xfId="63" applyNumberFormat="1" applyFont="1" applyFill="1" applyBorder="1" applyAlignment="1">
      <alignment horizontal="left" vertical="center"/>
    </xf>
    <xf numFmtId="9" fontId="7" fillId="34" borderId="0" xfId="63" applyFont="1" applyFill="1" applyBorder="1" applyAlignment="1">
      <alignment horizontal="center" vertical="center"/>
    </xf>
    <xf numFmtId="0" fontId="0" fillId="34"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34" borderId="11" xfId="0" applyFont="1" applyFill="1" applyBorder="1" applyAlignment="1">
      <alignment horizontal="center" vertical="center"/>
    </xf>
    <xf numFmtId="0" fontId="6" fillId="34" borderId="0" xfId="0" applyFont="1" applyFill="1" applyBorder="1" applyAlignment="1">
      <alignment horizontal="left" vertical="center" wrapText="1"/>
    </xf>
    <xf numFmtId="0" fontId="0" fillId="34" borderId="0" xfId="0" applyFill="1" applyAlignment="1">
      <alignment vertical="center"/>
    </xf>
    <xf numFmtId="0" fontId="14" fillId="34" borderId="0" xfId="0" applyFont="1" applyFill="1" applyBorder="1" applyAlignment="1">
      <alignment horizontal="center" vertical="center"/>
    </xf>
    <xf numFmtId="173" fontId="0" fillId="34" borderId="16" xfId="0" applyNumberFormat="1" applyFont="1" applyFill="1" applyBorder="1" applyAlignment="1" applyProtection="1">
      <alignment horizontal="center" vertical="center"/>
      <protection locked="0"/>
    </xf>
    <xf numFmtId="0" fontId="7" fillId="34" borderId="25" xfId="0" applyFont="1" applyFill="1" applyBorder="1" applyAlignment="1">
      <alignment horizontal="left" vertical="center"/>
    </xf>
    <xf numFmtId="0" fontId="7" fillId="34" borderId="26" xfId="0" applyFont="1" applyFill="1" applyBorder="1" applyAlignment="1">
      <alignment horizontal="center" vertical="center"/>
    </xf>
    <xf numFmtId="0" fontId="7" fillId="34" borderId="27" xfId="0" applyFont="1" applyFill="1" applyBorder="1" applyAlignment="1">
      <alignment horizontal="center" vertical="center"/>
    </xf>
    <xf numFmtId="0" fontId="0" fillId="34" borderId="19" xfId="0" applyFont="1" applyFill="1" applyBorder="1" applyAlignment="1">
      <alignment horizontal="center" vertical="center"/>
    </xf>
    <xf numFmtId="14" fontId="0" fillId="34" borderId="10" xfId="0" applyNumberFormat="1" applyFont="1" applyFill="1" applyBorder="1" applyAlignment="1">
      <alignment vertical="center"/>
    </xf>
    <xf numFmtId="14" fontId="0" fillId="34" borderId="17" xfId="0" applyNumberFormat="1" applyFont="1" applyFill="1" applyBorder="1" applyAlignment="1">
      <alignment horizontal="center" vertical="center"/>
    </xf>
    <xf numFmtId="173" fontId="0" fillId="34" borderId="17" xfId="0" applyNumberFormat="1"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93" xfId="0" applyFont="1" applyFill="1" applyBorder="1" applyAlignment="1">
      <alignment horizontal="center" vertical="center"/>
    </xf>
    <xf numFmtId="14" fontId="0" fillId="34" borderId="89" xfId="0" applyNumberFormat="1" applyFont="1" applyFill="1" applyBorder="1" applyAlignment="1">
      <alignment vertical="center"/>
    </xf>
    <xf numFmtId="14" fontId="0" fillId="34" borderId="105" xfId="0" applyNumberFormat="1" applyFont="1" applyFill="1" applyBorder="1" applyAlignment="1">
      <alignment horizontal="center" vertical="center"/>
    </xf>
    <xf numFmtId="0" fontId="0" fillId="34" borderId="18" xfId="0" applyNumberFormat="1" applyFont="1" applyFill="1" applyBorder="1" applyAlignment="1">
      <alignment horizontal="center" vertical="center"/>
    </xf>
    <xf numFmtId="0" fontId="0" fillId="34" borderId="17" xfId="0" applyFont="1" applyFill="1" applyBorder="1" applyAlignment="1">
      <alignment horizontal="left" vertical="center"/>
    </xf>
    <xf numFmtId="0" fontId="0" fillId="34" borderId="16" xfId="0" applyFont="1" applyFill="1" applyBorder="1" applyAlignment="1">
      <alignment horizontal="left" vertical="center"/>
    </xf>
    <xf numFmtId="0" fontId="7" fillId="34" borderId="86" xfId="0" applyFont="1" applyFill="1" applyBorder="1" applyAlignment="1">
      <alignment vertical="center"/>
    </xf>
    <xf numFmtId="0" fontId="7" fillId="34" borderId="81" xfId="0" applyFont="1" applyFill="1" applyBorder="1" applyAlignment="1">
      <alignment vertical="center"/>
    </xf>
    <xf numFmtId="0" fontId="0" fillId="34" borderId="105" xfId="0" applyFont="1" applyFill="1" applyBorder="1" applyAlignment="1">
      <alignment vertical="center"/>
    </xf>
    <xf numFmtId="0" fontId="0" fillId="34" borderId="90" xfId="0" applyFont="1" applyFill="1" applyBorder="1" applyAlignment="1">
      <alignment horizontal="left" vertical="center" wrapText="1"/>
    </xf>
    <xf numFmtId="0" fontId="4" fillId="36" borderId="0" xfId="57" applyFont="1" applyFill="1">
      <alignment/>
      <protection/>
    </xf>
    <xf numFmtId="0" fontId="4" fillId="0" borderId="0" xfId="57" applyFont="1">
      <alignment/>
      <protection/>
    </xf>
    <xf numFmtId="0" fontId="4" fillId="37" borderId="10" xfId="57" applyFont="1" applyFill="1" applyBorder="1">
      <alignment/>
      <protection/>
    </xf>
    <xf numFmtId="0" fontId="4" fillId="37" borderId="17" xfId="57" applyFont="1" applyFill="1" applyBorder="1">
      <alignment/>
      <protection/>
    </xf>
    <xf numFmtId="0" fontId="4" fillId="37" borderId="19" xfId="57" applyFont="1" applyFill="1" applyBorder="1">
      <alignment/>
      <protection/>
    </xf>
    <xf numFmtId="0" fontId="4" fillId="37" borderId="11" xfId="57" applyFont="1" applyFill="1" applyBorder="1">
      <alignment/>
      <protection/>
    </xf>
    <xf numFmtId="0" fontId="4" fillId="38" borderId="106" xfId="57" applyFont="1" applyFill="1" applyBorder="1">
      <alignment/>
      <protection/>
    </xf>
    <xf numFmtId="0" fontId="4" fillId="38" borderId="107" xfId="57" applyFont="1" applyFill="1" applyBorder="1">
      <alignment/>
      <protection/>
    </xf>
    <xf numFmtId="0" fontId="4" fillId="38" borderId="108" xfId="57" applyFont="1" applyFill="1" applyBorder="1">
      <alignment/>
      <protection/>
    </xf>
    <xf numFmtId="0" fontId="4" fillId="37" borderId="12" xfId="57" applyFont="1" applyFill="1" applyBorder="1">
      <alignment/>
      <protection/>
    </xf>
    <xf numFmtId="0" fontId="4" fillId="38" borderId="109" xfId="57" applyFont="1" applyFill="1" applyBorder="1" applyAlignment="1">
      <alignment horizontal="center"/>
      <protection/>
    </xf>
    <xf numFmtId="0" fontId="4" fillId="38" borderId="0" xfId="57" applyFont="1" applyFill="1" applyBorder="1" applyAlignment="1">
      <alignment horizontal="center"/>
      <protection/>
    </xf>
    <xf numFmtId="0" fontId="4" fillId="38" borderId="110" xfId="57" applyFont="1" applyFill="1" applyBorder="1" applyAlignment="1">
      <alignment horizontal="center"/>
      <protection/>
    </xf>
    <xf numFmtId="0" fontId="60" fillId="38" borderId="0" xfId="57" applyFont="1" applyFill="1" applyBorder="1" applyAlignment="1">
      <alignment horizontal="center"/>
      <protection/>
    </xf>
    <xf numFmtId="0" fontId="7" fillId="38" borderId="11" xfId="57" applyFont="1" applyFill="1" applyBorder="1">
      <alignment/>
      <protection/>
    </xf>
    <xf numFmtId="0" fontId="7" fillId="38" borderId="0" xfId="57" applyFont="1" applyFill="1" applyBorder="1">
      <alignment/>
      <protection/>
    </xf>
    <xf numFmtId="0" fontId="61" fillId="38" borderId="0" xfId="57" applyFont="1" applyFill="1" applyBorder="1" applyAlignment="1">
      <alignment horizontal="center"/>
      <protection/>
    </xf>
    <xf numFmtId="0" fontId="4" fillId="38" borderId="0" xfId="57" applyFont="1" applyFill="1" applyBorder="1">
      <alignment/>
      <protection/>
    </xf>
    <xf numFmtId="0" fontId="4" fillId="38" borderId="12" xfId="57" applyFont="1" applyFill="1" applyBorder="1">
      <alignment/>
      <protection/>
    </xf>
    <xf numFmtId="0" fontId="7" fillId="38" borderId="0" xfId="57" applyFont="1" applyFill="1" applyBorder="1" applyAlignment="1">
      <alignment horizontal="left"/>
      <protection/>
    </xf>
    <xf numFmtId="0" fontId="1" fillId="38" borderId="0" xfId="57" applyFont="1" applyFill="1" applyBorder="1">
      <alignment/>
      <protection/>
    </xf>
    <xf numFmtId="0" fontId="4" fillId="38" borderId="11" xfId="57" applyFont="1" applyFill="1" applyBorder="1">
      <alignment/>
      <protection/>
    </xf>
    <xf numFmtId="0" fontId="62" fillId="38" borderId="11" xfId="57" applyFont="1" applyFill="1" applyBorder="1">
      <alignment/>
      <protection/>
    </xf>
    <xf numFmtId="0" fontId="4" fillId="38" borderId="11" xfId="57" applyFont="1" applyFill="1" applyBorder="1">
      <alignment/>
      <protection/>
    </xf>
    <xf numFmtId="198" fontId="4" fillId="38" borderId="0" xfId="57" applyNumberFormat="1" applyFont="1" applyFill="1" applyBorder="1" applyAlignment="1">
      <alignment horizontal="center"/>
      <protection/>
    </xf>
    <xf numFmtId="0" fontId="4" fillId="37" borderId="15" xfId="57" applyFont="1" applyFill="1" applyBorder="1">
      <alignment/>
      <protection/>
    </xf>
    <xf numFmtId="0" fontId="4" fillId="37" borderId="16" xfId="57" applyFont="1" applyFill="1" applyBorder="1">
      <alignment/>
      <protection/>
    </xf>
    <xf numFmtId="0" fontId="4" fillId="37" borderId="18" xfId="57" applyFont="1" applyFill="1" applyBorder="1">
      <alignment/>
      <protection/>
    </xf>
    <xf numFmtId="0" fontId="0" fillId="35" borderId="0" xfId="0" applyFill="1" applyAlignment="1">
      <alignment/>
    </xf>
    <xf numFmtId="49" fontId="9" fillId="0" borderId="111" xfId="59" applyNumberFormat="1" applyFont="1" applyFill="1" applyBorder="1" applyAlignment="1" applyProtection="1">
      <alignment horizontal="left" vertical="center"/>
      <protection/>
    </xf>
    <xf numFmtId="49" fontId="9" fillId="0" borderId="112" xfId="59" applyNumberFormat="1" applyFont="1" applyFill="1" applyBorder="1" applyAlignment="1" applyProtection="1">
      <alignment horizontal="left" vertical="center"/>
      <protection/>
    </xf>
    <xf numFmtId="0" fontId="64" fillId="34" borderId="0" xfId="60" applyFont="1" applyFill="1" applyBorder="1" applyAlignment="1" applyProtection="1">
      <alignment/>
      <protection/>
    </xf>
    <xf numFmtId="0" fontId="8" fillId="34" borderId="113" xfId="0" applyFont="1" applyFill="1" applyBorder="1" applyAlignment="1">
      <alignment horizontal="center" vertical="center"/>
    </xf>
    <xf numFmtId="0" fontId="8" fillId="34" borderId="114" xfId="0" applyFont="1" applyFill="1" applyBorder="1" applyAlignment="1">
      <alignment horizontal="center" vertical="center"/>
    </xf>
    <xf numFmtId="0" fontId="8" fillId="34" borderId="115" xfId="0" applyFont="1" applyFill="1" applyBorder="1" applyAlignment="1">
      <alignment horizontal="center" vertical="center"/>
    </xf>
    <xf numFmtId="0" fontId="8" fillId="0" borderId="113" xfId="0" applyFont="1" applyFill="1" applyBorder="1" applyAlignment="1">
      <alignment horizontal="center" vertical="center"/>
    </xf>
    <xf numFmtId="0" fontId="8" fillId="0" borderId="114" xfId="0" applyFont="1" applyFill="1" applyBorder="1" applyAlignment="1">
      <alignment horizontal="center" vertical="center"/>
    </xf>
    <xf numFmtId="0" fontId="8" fillId="0" borderId="27" xfId="0" applyFont="1" applyFill="1" applyBorder="1" applyAlignment="1">
      <alignment horizontal="center" vertical="center"/>
    </xf>
    <xf numFmtId="0" fontId="8" fillId="35" borderId="56" xfId="0" applyFont="1" applyFill="1" applyBorder="1" applyAlignment="1">
      <alignment horizontal="center" vertical="center"/>
    </xf>
    <xf numFmtId="0" fontId="8" fillId="35" borderId="59" xfId="0" applyFont="1" applyFill="1" applyBorder="1" applyAlignment="1">
      <alignment horizontal="center" vertical="center"/>
    </xf>
    <xf numFmtId="15" fontId="66" fillId="34" borderId="55" xfId="60" applyNumberFormat="1" applyFont="1" applyFill="1" applyBorder="1" applyAlignment="1" applyProtection="1">
      <alignment horizontal="center"/>
      <protection/>
    </xf>
    <xf numFmtId="14" fontId="14" fillId="0" borderId="100" xfId="60" applyNumberFormat="1" applyFont="1" applyFill="1" applyBorder="1" applyAlignment="1" applyProtection="1">
      <alignment horizontal="center"/>
      <protection locked="0"/>
    </xf>
    <xf numFmtId="4" fontId="14" fillId="0" borderId="104" xfId="60" applyNumberFormat="1" applyFont="1" applyFill="1" applyBorder="1" applyAlignment="1" applyProtection="1">
      <alignment horizontal="center"/>
      <protection locked="0"/>
    </xf>
    <xf numFmtId="4" fontId="14" fillId="0" borderId="55" xfId="60" applyNumberFormat="1" applyFont="1" applyFill="1" applyBorder="1" applyAlignment="1" applyProtection="1">
      <alignment horizontal="center"/>
      <protection locked="0"/>
    </xf>
    <xf numFmtId="4" fontId="14" fillId="0" borderId="56" xfId="60" applyNumberFormat="1" applyFont="1" applyFill="1" applyBorder="1" applyAlignment="1" applyProtection="1">
      <alignment horizontal="center"/>
      <protection locked="0"/>
    </xf>
    <xf numFmtId="1" fontId="66" fillId="34" borderId="58" xfId="60" applyNumberFormat="1" applyFont="1" applyFill="1" applyBorder="1" applyAlignment="1" applyProtection="1">
      <alignment horizontal="center"/>
      <protection/>
    </xf>
    <xf numFmtId="14" fontId="14" fillId="0" borderId="93" xfId="60" applyNumberFormat="1" applyFont="1" applyFill="1" applyBorder="1" applyAlignment="1" applyProtection="1">
      <alignment horizontal="center"/>
      <protection locked="0"/>
    </xf>
    <xf numFmtId="4" fontId="14" fillId="0" borderId="68" xfId="60" applyNumberFormat="1" applyFont="1" applyFill="1" applyBorder="1" applyAlignment="1" applyProtection="1">
      <alignment horizontal="center"/>
      <protection locked="0"/>
    </xf>
    <xf numFmtId="4" fontId="14" fillId="0" borderId="58" xfId="60" applyNumberFormat="1" applyFont="1" applyFill="1" applyBorder="1" applyAlignment="1" applyProtection="1">
      <alignment horizontal="center"/>
      <protection locked="0"/>
    </xf>
    <xf numFmtId="4" fontId="14" fillId="0" borderId="59" xfId="60" applyNumberFormat="1" applyFont="1" applyFill="1" applyBorder="1" applyAlignment="1" applyProtection="1">
      <alignment horizontal="center"/>
      <protection locked="0"/>
    </xf>
    <xf numFmtId="4" fontId="14" fillId="0" borderId="68" xfId="60" applyNumberFormat="1" applyFont="1" applyFill="1" applyBorder="1" applyAlignment="1" applyProtection="1" quotePrefix="1">
      <alignment horizontal="center"/>
      <protection locked="0"/>
    </xf>
    <xf numFmtId="4" fontId="14" fillId="0" borderId="58" xfId="60" applyNumberFormat="1" applyFont="1" applyFill="1" applyBorder="1" applyAlignment="1" applyProtection="1" quotePrefix="1">
      <alignment horizontal="center"/>
      <protection locked="0"/>
    </xf>
    <xf numFmtId="14" fontId="14" fillId="0" borderId="93" xfId="60" applyNumberFormat="1" applyFont="1" applyFill="1" applyBorder="1" applyAlignment="1" applyProtection="1" quotePrefix="1">
      <alignment horizontal="center"/>
      <protection locked="0"/>
    </xf>
    <xf numFmtId="1" fontId="66" fillId="34" borderId="67" xfId="60" applyNumberFormat="1" applyFont="1" applyFill="1" applyBorder="1" applyAlignment="1" applyProtection="1">
      <alignment horizontal="center"/>
      <protection/>
    </xf>
    <xf numFmtId="14" fontId="14" fillId="0" borderId="105" xfId="60" applyNumberFormat="1" applyFont="1" applyFill="1" applyBorder="1" applyAlignment="1" applyProtection="1">
      <alignment horizontal="center"/>
      <protection locked="0"/>
    </xf>
    <xf numFmtId="4" fontId="14" fillId="0" borderId="69" xfId="60" applyNumberFormat="1" applyFont="1" applyFill="1" applyBorder="1" applyAlignment="1" applyProtection="1">
      <alignment horizontal="center"/>
      <protection locked="0"/>
    </xf>
    <xf numFmtId="4" fontId="14" fillId="0" borderId="67" xfId="60" applyNumberFormat="1" applyFont="1" applyFill="1" applyBorder="1" applyAlignment="1" applyProtection="1">
      <alignment horizontal="center"/>
      <protection locked="0"/>
    </xf>
    <xf numFmtId="4" fontId="14" fillId="0" borderId="60" xfId="60" applyNumberFormat="1" applyFont="1" applyFill="1" applyBorder="1" applyAlignment="1" applyProtection="1">
      <alignment horizontal="center"/>
      <protection locked="0"/>
    </xf>
    <xf numFmtId="0" fontId="23" fillId="34" borderId="0" xfId="0" applyFont="1" applyFill="1" applyBorder="1" applyAlignment="1">
      <alignment vertical="center"/>
    </xf>
    <xf numFmtId="14" fontId="0" fillId="34" borderId="16" xfId="0" applyNumberFormat="1" applyFont="1" applyFill="1" applyBorder="1" applyAlignment="1">
      <alignment horizontal="center" vertical="center"/>
    </xf>
    <xf numFmtId="0" fontId="63" fillId="34" borderId="113" xfId="0" applyFont="1" applyFill="1" applyBorder="1" applyAlignment="1">
      <alignment horizontal="center" vertical="center"/>
    </xf>
    <xf numFmtId="0" fontId="63" fillId="34" borderId="114" xfId="0" applyFont="1" applyFill="1" applyBorder="1" applyAlignment="1">
      <alignment horizontal="center" vertical="center"/>
    </xf>
    <xf numFmtId="0" fontId="63" fillId="34" borderId="115" xfId="0" applyFont="1" applyFill="1" applyBorder="1" applyAlignment="1">
      <alignment horizontal="center" vertical="center"/>
    </xf>
    <xf numFmtId="2" fontId="8" fillId="34" borderId="68" xfId="0" applyNumberFormat="1" applyFont="1" applyFill="1" applyBorder="1" applyAlignment="1">
      <alignment horizontal="center" vertical="center"/>
    </xf>
    <xf numFmtId="2" fontId="8" fillId="34" borderId="58" xfId="0" applyNumberFormat="1" applyFont="1" applyFill="1" applyBorder="1" applyAlignment="1">
      <alignment horizontal="center" vertical="center"/>
    </xf>
    <xf numFmtId="2" fontId="8" fillId="34" borderId="59" xfId="0" applyNumberFormat="1" applyFont="1" applyFill="1" applyBorder="1" applyAlignment="1">
      <alignment horizontal="center" vertical="center"/>
    </xf>
    <xf numFmtId="173" fontId="8" fillId="34" borderId="58" xfId="0" applyNumberFormat="1" applyFont="1" applyFill="1" applyBorder="1" applyAlignment="1">
      <alignment horizontal="center" vertical="center"/>
    </xf>
    <xf numFmtId="2" fontId="8" fillId="34" borderId="68" xfId="0" applyNumberFormat="1" applyFont="1" applyFill="1" applyBorder="1" applyAlignment="1" applyProtection="1">
      <alignment horizontal="center" vertical="center"/>
      <protection locked="0"/>
    </xf>
    <xf numFmtId="2" fontId="8" fillId="34" borderId="58" xfId="0" applyNumberFormat="1" applyFont="1" applyFill="1" applyBorder="1" applyAlignment="1" applyProtection="1">
      <alignment horizontal="center" vertical="center"/>
      <protection locked="0"/>
    </xf>
    <xf numFmtId="2" fontId="8" fillId="34" borderId="59" xfId="0" applyNumberFormat="1" applyFont="1" applyFill="1" applyBorder="1" applyAlignment="1" applyProtection="1">
      <alignment horizontal="center" vertical="center"/>
      <protection locked="0"/>
    </xf>
    <xf numFmtId="173" fontId="8" fillId="34" borderId="69" xfId="0" applyNumberFormat="1" applyFont="1" applyFill="1" applyBorder="1" applyAlignment="1" applyProtection="1">
      <alignment horizontal="center" vertical="center"/>
      <protection locked="0"/>
    </xf>
    <xf numFmtId="173" fontId="8" fillId="34" borderId="67" xfId="0" applyNumberFormat="1" applyFont="1" applyFill="1" applyBorder="1" applyAlignment="1" applyProtection="1">
      <alignment horizontal="center" vertical="center"/>
      <protection locked="0"/>
    </xf>
    <xf numFmtId="173" fontId="8" fillId="34" borderId="60" xfId="0" applyNumberFormat="1" applyFont="1" applyFill="1" applyBorder="1" applyAlignment="1" applyProtection="1">
      <alignment horizontal="center" vertical="center"/>
      <protection locked="0"/>
    </xf>
    <xf numFmtId="173" fontId="8" fillId="34" borderId="17" xfId="0" applyNumberFormat="1" applyFont="1" applyFill="1" applyBorder="1" applyAlignment="1" applyProtection="1">
      <alignment horizontal="center" vertical="center"/>
      <protection locked="0"/>
    </xf>
    <xf numFmtId="173" fontId="8" fillId="34" borderId="19" xfId="0" applyNumberFormat="1" applyFont="1" applyFill="1" applyBorder="1" applyAlignment="1" applyProtection="1">
      <alignment horizontal="center" vertical="center"/>
      <protection locked="0"/>
    </xf>
    <xf numFmtId="0" fontId="8" fillId="34" borderId="57" xfId="0" applyFont="1" applyFill="1" applyBorder="1" applyAlignment="1">
      <alignment horizontal="center" vertical="center"/>
    </xf>
    <xf numFmtId="0" fontId="8" fillId="34" borderId="58" xfId="0" applyFont="1" applyFill="1" applyBorder="1" applyAlignment="1">
      <alignment horizontal="center" vertical="center"/>
    </xf>
    <xf numFmtId="0" fontId="8" fillId="34" borderId="59" xfId="0" applyFont="1" applyFill="1" applyBorder="1" applyAlignment="1">
      <alignment horizontal="center" vertical="center"/>
    </xf>
    <xf numFmtId="0" fontId="8" fillId="34" borderId="80" xfId="0" applyFont="1" applyFill="1" applyBorder="1" applyAlignment="1">
      <alignment horizontal="center" vertical="center"/>
    </xf>
    <xf numFmtId="0" fontId="8" fillId="34" borderId="67" xfId="0" applyFont="1" applyFill="1" applyBorder="1" applyAlignment="1">
      <alignment horizontal="center" vertical="center"/>
    </xf>
    <xf numFmtId="0" fontId="8" fillId="34" borderId="60" xfId="0" applyFont="1" applyFill="1" applyBorder="1" applyAlignment="1">
      <alignment horizontal="center" vertical="center"/>
    </xf>
    <xf numFmtId="0" fontId="8" fillId="34" borderId="0" xfId="0" applyFont="1" applyFill="1" applyBorder="1" applyAlignment="1">
      <alignment horizontal="center" vertical="center"/>
    </xf>
    <xf numFmtId="0" fontId="63" fillId="34" borderId="0" xfId="0" applyFont="1" applyFill="1" applyBorder="1" applyAlignment="1">
      <alignment vertical="center"/>
    </xf>
    <xf numFmtId="0" fontId="0" fillId="0" borderId="0" xfId="0" applyFont="1" applyFill="1" applyBorder="1" applyAlignment="1">
      <alignment horizontal="right" vertical="center"/>
    </xf>
    <xf numFmtId="0" fontId="21" fillId="34" borderId="0" xfId="0" applyFont="1" applyFill="1" applyAlignment="1">
      <alignment vertical="center"/>
    </xf>
    <xf numFmtId="49" fontId="9" fillId="34" borderId="0" xfId="0" applyNumberFormat="1" applyFont="1" applyFill="1" applyBorder="1" applyAlignment="1">
      <alignment horizontal="left" vertical="center"/>
    </xf>
    <xf numFmtId="14" fontId="0" fillId="34" borderId="0" xfId="0" applyNumberFormat="1" applyFont="1" applyFill="1" applyAlignment="1">
      <alignment vertical="center"/>
    </xf>
    <xf numFmtId="0" fontId="0" fillId="34" borderId="0" xfId="0" applyFont="1" applyFill="1" applyAlignment="1">
      <alignment horizontal="right" vertical="center"/>
    </xf>
    <xf numFmtId="165" fontId="0" fillId="34" borderId="90" xfId="0" applyNumberFormat="1" applyFont="1" applyFill="1" applyBorder="1" applyAlignment="1">
      <alignment vertical="center"/>
    </xf>
    <xf numFmtId="10" fontId="0" fillId="34" borderId="0" xfId="0" applyNumberFormat="1" applyFont="1" applyFill="1" applyAlignment="1">
      <alignment horizontal="center" vertical="center"/>
    </xf>
    <xf numFmtId="0" fontId="0" fillId="34" borderId="0" xfId="0" applyFont="1" applyFill="1" applyAlignment="1">
      <alignment/>
    </xf>
    <xf numFmtId="0" fontId="0" fillId="35" borderId="0" xfId="0" applyFont="1" applyFill="1" applyAlignment="1">
      <alignment/>
    </xf>
    <xf numFmtId="173" fontId="8" fillId="35" borderId="55" xfId="0" applyNumberFormat="1" applyFont="1" applyFill="1" applyBorder="1" applyAlignment="1">
      <alignment horizontal="center" vertical="center"/>
    </xf>
    <xf numFmtId="0" fontId="8" fillId="34" borderId="86" xfId="0" applyFont="1" applyFill="1" applyBorder="1" applyAlignment="1">
      <alignment horizontal="center" vertical="center"/>
    </xf>
    <xf numFmtId="173" fontId="8" fillId="35" borderId="58" xfId="0" applyNumberFormat="1" applyFont="1" applyFill="1" applyBorder="1" applyAlignment="1">
      <alignment horizontal="center" vertical="center"/>
    </xf>
    <xf numFmtId="0" fontId="8" fillId="34" borderId="81" xfId="0" applyFont="1" applyFill="1" applyBorder="1" applyAlignment="1">
      <alignment horizontal="center" vertical="center"/>
    </xf>
    <xf numFmtId="173" fontId="8" fillId="35" borderId="99" xfId="0" applyNumberFormat="1" applyFont="1" applyFill="1" applyBorder="1" applyAlignment="1">
      <alignment horizontal="center" vertical="center"/>
    </xf>
    <xf numFmtId="173" fontId="8" fillId="34" borderId="55" xfId="0" applyNumberFormat="1" applyFont="1" applyFill="1" applyBorder="1" applyAlignment="1">
      <alignment horizontal="center" vertical="center"/>
    </xf>
    <xf numFmtId="0" fontId="8" fillId="34" borderId="116" xfId="0" applyFont="1" applyFill="1" applyBorder="1" applyAlignment="1">
      <alignment horizontal="center" vertical="center"/>
    </xf>
    <xf numFmtId="0" fontId="8" fillId="34" borderId="111" xfId="0" applyFont="1" applyFill="1" applyBorder="1" applyAlignment="1">
      <alignment horizontal="center" vertical="center"/>
    </xf>
    <xf numFmtId="0" fontId="0" fillId="34" borderId="117" xfId="0" applyFont="1" applyFill="1" applyBorder="1" applyAlignment="1">
      <alignment vertical="center"/>
    </xf>
    <xf numFmtId="0" fontId="0" fillId="34" borderId="118" xfId="0" applyFont="1" applyFill="1" applyBorder="1" applyAlignment="1">
      <alignment vertical="center"/>
    </xf>
    <xf numFmtId="0" fontId="10" fillId="34" borderId="0" xfId="60" applyFont="1" applyFill="1" applyBorder="1" applyAlignment="1" applyProtection="1">
      <alignment/>
      <protection/>
    </xf>
    <xf numFmtId="165" fontId="0" fillId="0" borderId="0" xfId="0" applyNumberFormat="1" applyFont="1" applyFill="1" applyBorder="1" applyAlignment="1">
      <alignment horizontal="center" vertical="center"/>
    </xf>
    <xf numFmtId="0" fontId="0" fillId="34" borderId="119" xfId="0" applyFont="1" applyFill="1" applyBorder="1" applyAlignment="1">
      <alignment vertical="center"/>
    </xf>
    <xf numFmtId="0" fontId="0" fillId="34" borderId="120" xfId="0" applyFont="1" applyFill="1" applyBorder="1" applyAlignment="1">
      <alignment vertical="center"/>
    </xf>
    <xf numFmtId="0" fontId="0" fillId="34" borderId="90" xfId="0" applyFont="1" applyFill="1" applyBorder="1" applyAlignment="1">
      <alignment horizontal="right" vertical="center"/>
    </xf>
    <xf numFmtId="0" fontId="4" fillId="0" borderId="0" xfId="57" applyFont="1" applyFill="1">
      <alignment/>
      <protection/>
    </xf>
    <xf numFmtId="0" fontId="38" fillId="0" borderId="0" xfId="0" applyFont="1" applyFill="1" applyAlignment="1">
      <alignment/>
    </xf>
    <xf numFmtId="0" fontId="0" fillId="0" borderId="0" xfId="0" applyFill="1" applyAlignment="1">
      <alignment/>
    </xf>
    <xf numFmtId="0" fontId="14" fillId="34" borderId="85" xfId="60" applyFont="1" applyFill="1" applyBorder="1" applyAlignment="1" applyProtection="1">
      <alignment horizontal="left"/>
      <protection/>
    </xf>
    <xf numFmtId="0" fontId="14" fillId="34" borderId="86" xfId="60" applyFont="1" applyFill="1" applyBorder="1" applyAlignment="1" applyProtection="1">
      <alignment horizontal="left"/>
      <protection/>
    </xf>
    <xf numFmtId="0" fontId="14" fillId="34" borderId="100" xfId="60" applyFont="1" applyFill="1" applyBorder="1" applyAlignment="1" applyProtection="1">
      <alignment horizontal="right"/>
      <protection/>
    </xf>
    <xf numFmtId="0" fontId="14" fillId="34" borderId="87" xfId="60" applyFont="1" applyFill="1" applyBorder="1" applyAlignment="1" applyProtection="1">
      <alignment horizontal="left"/>
      <protection/>
    </xf>
    <xf numFmtId="0" fontId="14" fillId="34" borderId="81" xfId="60" applyFont="1" applyFill="1" applyBorder="1" applyAlignment="1" applyProtection="1">
      <alignment horizontal="left"/>
      <protection/>
    </xf>
    <xf numFmtId="0" fontId="14" fillId="34" borderId="93" xfId="60" applyFont="1" applyFill="1" applyBorder="1" applyAlignment="1" applyProtection="1">
      <alignment horizontal="right"/>
      <protection/>
    </xf>
    <xf numFmtId="0" fontId="14" fillId="34" borderId="121" xfId="60" applyFont="1" applyFill="1" applyBorder="1" applyProtection="1">
      <alignment/>
      <protection/>
    </xf>
    <xf numFmtId="0" fontId="14" fillId="34" borderId="122" xfId="60" applyFont="1" applyFill="1" applyBorder="1" applyProtection="1">
      <alignment/>
      <protection/>
    </xf>
    <xf numFmtId="0" fontId="14" fillId="34" borderId="123" xfId="60" applyFont="1" applyFill="1" applyBorder="1" applyAlignment="1" applyProtection="1">
      <alignment horizontal="right"/>
      <protection/>
    </xf>
    <xf numFmtId="0" fontId="74" fillId="34" borderId="25" xfId="60" applyFont="1" applyFill="1" applyBorder="1" applyProtection="1">
      <alignment/>
      <protection/>
    </xf>
    <xf numFmtId="0" fontId="14" fillId="34" borderId="26" xfId="60" applyFont="1" applyFill="1" applyBorder="1" applyProtection="1">
      <alignment/>
      <protection/>
    </xf>
    <xf numFmtId="0" fontId="14" fillId="34" borderId="27" xfId="60" applyFont="1" applyFill="1" applyBorder="1" applyProtection="1">
      <alignment/>
      <protection/>
    </xf>
    <xf numFmtId="0" fontId="69" fillId="34" borderId="25" xfId="59" applyFont="1" applyFill="1" applyBorder="1" applyAlignment="1" applyProtection="1">
      <alignment horizontal="left"/>
      <protection/>
    </xf>
    <xf numFmtId="0" fontId="69" fillId="34" borderId="124" xfId="59" applyFont="1" applyFill="1" applyBorder="1" applyAlignment="1" applyProtection="1">
      <alignment horizontal="center"/>
      <protection locked="0"/>
    </xf>
    <xf numFmtId="0" fontId="14" fillId="34" borderId="125" xfId="59" applyFont="1" applyFill="1" applyBorder="1" applyAlignment="1" applyProtection="1">
      <alignment horizontal="center"/>
      <protection/>
    </xf>
    <xf numFmtId="0" fontId="14" fillId="34" borderId="87" xfId="59" applyFont="1" applyFill="1" applyBorder="1" applyAlignment="1" applyProtection="1">
      <alignment horizontal="center"/>
      <protection/>
    </xf>
    <xf numFmtId="0" fontId="14" fillId="34" borderId="58" xfId="59" applyNumberFormat="1" applyFont="1" applyFill="1" applyBorder="1" applyAlignment="1" applyProtection="1">
      <alignment horizontal="center" vertical="center"/>
      <protection locked="0"/>
    </xf>
    <xf numFmtId="0" fontId="14" fillId="34" borderId="59" xfId="59" applyNumberFormat="1" applyFont="1" applyFill="1" applyBorder="1" applyAlignment="1" applyProtection="1">
      <alignment horizontal="center" vertical="center"/>
      <protection locked="0"/>
    </xf>
    <xf numFmtId="0" fontId="14" fillId="34" borderId="126" xfId="59" applyFont="1" applyFill="1" applyBorder="1" applyAlignment="1" applyProtection="1">
      <alignment horizontal="center"/>
      <protection/>
    </xf>
    <xf numFmtId="0" fontId="14" fillId="34" borderId="127" xfId="59" applyNumberFormat="1" applyFont="1" applyFill="1" applyBorder="1" applyAlignment="1" applyProtection="1">
      <alignment horizontal="center" vertical="center"/>
      <protection locked="0"/>
    </xf>
    <xf numFmtId="0" fontId="14" fillId="34" borderId="128" xfId="59" applyNumberFormat="1" applyFont="1" applyFill="1" applyBorder="1" applyAlignment="1" applyProtection="1">
      <alignment horizontal="center" vertical="center"/>
      <protection locked="0"/>
    </xf>
    <xf numFmtId="0" fontId="14" fillId="34" borderId="11" xfId="59" applyFont="1" applyFill="1" applyBorder="1" applyProtection="1">
      <alignment/>
      <protection/>
    </xf>
    <xf numFmtId="0" fontId="14" fillId="34" borderId="0" xfId="59" applyNumberFormat="1" applyFont="1" applyFill="1" applyBorder="1" applyAlignment="1" applyProtection="1">
      <alignment horizontal="center" vertical="center"/>
      <protection locked="0"/>
    </xf>
    <xf numFmtId="0" fontId="14" fillId="34" borderId="12" xfId="59" applyNumberFormat="1" applyFont="1" applyFill="1" applyBorder="1" applyAlignment="1" applyProtection="1">
      <alignment horizontal="center" vertical="center"/>
      <protection locked="0"/>
    </xf>
    <xf numFmtId="0" fontId="14" fillId="34" borderId="125" xfId="59" applyFont="1" applyFill="1" applyBorder="1" applyProtection="1">
      <alignment/>
      <protection/>
    </xf>
    <xf numFmtId="0" fontId="14" fillId="34" borderId="71" xfId="59" applyNumberFormat="1" applyFont="1" applyFill="1" applyBorder="1" applyAlignment="1" applyProtection="1">
      <alignment horizontal="center" vertical="center"/>
      <protection locked="0"/>
    </xf>
    <xf numFmtId="0" fontId="14" fillId="34" borderId="72" xfId="59" applyNumberFormat="1" applyFont="1" applyFill="1" applyBorder="1" applyAlignment="1" applyProtection="1">
      <alignment horizontal="center" vertical="center"/>
      <protection locked="0"/>
    </xf>
    <xf numFmtId="0" fontId="14" fillId="34" borderId="87" xfId="59" applyFont="1" applyFill="1" applyBorder="1" applyProtection="1">
      <alignment/>
      <protection/>
    </xf>
    <xf numFmtId="2" fontId="14" fillId="34" borderId="68" xfId="59" applyNumberFormat="1" applyFont="1" applyFill="1" applyBorder="1" applyAlignment="1" applyProtection="1">
      <alignment horizontal="center" vertical="center"/>
      <protection locked="0"/>
    </xf>
    <xf numFmtId="0" fontId="14" fillId="34" borderId="126" xfId="59" applyFont="1" applyFill="1" applyBorder="1" applyProtection="1">
      <alignment/>
      <protection/>
    </xf>
    <xf numFmtId="2" fontId="14" fillId="34" borderId="83" xfId="59" applyNumberFormat="1" applyFont="1" applyFill="1" applyBorder="1" applyAlignment="1" applyProtection="1">
      <alignment horizontal="center" vertical="center"/>
      <protection locked="0"/>
    </xf>
    <xf numFmtId="0" fontId="14" fillId="34" borderId="15" xfId="59" applyFont="1" applyFill="1" applyBorder="1" applyProtection="1">
      <alignment/>
      <protection/>
    </xf>
    <xf numFmtId="0" fontId="14" fillId="34" borderId="99" xfId="59" applyNumberFormat="1" applyFont="1" applyFill="1" applyBorder="1" applyAlignment="1" applyProtection="1">
      <alignment horizontal="center" vertical="center"/>
      <protection locked="0"/>
    </xf>
    <xf numFmtId="0" fontId="14" fillId="34" borderId="129" xfId="59" applyNumberFormat="1" applyFont="1" applyFill="1" applyBorder="1" applyAlignment="1" applyProtection="1">
      <alignment horizontal="center" vertical="center"/>
      <protection locked="0"/>
    </xf>
    <xf numFmtId="0" fontId="7" fillId="34" borderId="102" xfId="59" applyFont="1" applyFill="1" applyBorder="1" applyAlignment="1" applyProtection="1">
      <alignment horizontal="center"/>
      <protection locked="0"/>
    </xf>
    <xf numFmtId="0" fontId="7" fillId="34" borderId="130" xfId="59" applyFont="1" applyFill="1" applyBorder="1" applyAlignment="1" applyProtection="1">
      <alignment horizontal="center"/>
      <protection locked="0"/>
    </xf>
    <xf numFmtId="0" fontId="23" fillId="34" borderId="0" xfId="0" applyFont="1" applyFill="1" applyAlignment="1">
      <alignment/>
    </xf>
    <xf numFmtId="0" fontId="0" fillId="0" borderId="0" xfId="0" applyFill="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Alignment="1">
      <alignment horizontal="center"/>
    </xf>
    <xf numFmtId="0" fontId="0" fillId="0" borderId="0" xfId="0" applyFill="1" applyAlignment="1">
      <alignment horizontal="center" vertical="center"/>
    </xf>
    <xf numFmtId="0" fontId="0" fillId="0" borderId="0" xfId="0" applyFont="1" applyFill="1" applyAlignment="1">
      <alignment horizontal="center" vertical="center" wrapText="1"/>
    </xf>
    <xf numFmtId="0" fontId="12" fillId="0" borderId="0" xfId="0" applyFont="1" applyFill="1" applyAlignment="1">
      <alignment horizontal="center" wrapText="1"/>
    </xf>
    <xf numFmtId="0" fontId="0" fillId="0" borderId="32" xfId="0" applyFont="1" applyFill="1" applyBorder="1" applyAlignment="1" applyProtection="1">
      <alignment horizontal="center" wrapText="1"/>
      <protection/>
    </xf>
    <xf numFmtId="0" fontId="0" fillId="0" borderId="0" xfId="0" applyFont="1" applyFill="1" applyBorder="1" applyAlignment="1">
      <alignment horizontal="center" wrapText="1"/>
    </xf>
    <xf numFmtId="0" fontId="51" fillId="0" borderId="131" xfId="0" applyFont="1" applyFill="1" applyBorder="1" applyAlignment="1" applyProtection="1">
      <alignment horizontal="center"/>
      <protection/>
    </xf>
    <xf numFmtId="0" fontId="0" fillId="0" borderId="132" xfId="0" applyFont="1" applyFill="1" applyBorder="1" applyAlignment="1" applyProtection="1">
      <alignment horizontal="center" wrapText="1"/>
      <protection/>
    </xf>
    <xf numFmtId="11" fontId="0" fillId="0" borderId="132" xfId="0" applyNumberFormat="1" applyFont="1" applyFill="1" applyBorder="1" applyAlignment="1" applyProtection="1">
      <alignment horizontal="center" wrapText="1"/>
      <protection/>
    </xf>
    <xf numFmtId="0" fontId="0" fillId="0" borderId="132" xfId="0" applyNumberFormat="1" applyFont="1" applyFill="1" applyBorder="1" applyAlignment="1">
      <alignment horizontal="center" wrapText="1"/>
    </xf>
    <xf numFmtId="0" fontId="0" fillId="0" borderId="133" xfId="0" applyNumberFormat="1" applyFont="1" applyFill="1" applyBorder="1" applyAlignment="1">
      <alignment horizontal="center" wrapText="1"/>
    </xf>
    <xf numFmtId="0" fontId="0" fillId="0" borderId="0" xfId="0" applyFont="1" applyFill="1" applyAlignment="1">
      <alignment horizontal="center" wrapText="1"/>
    </xf>
    <xf numFmtId="0" fontId="0" fillId="0" borderId="13" xfId="0" applyFont="1" applyFill="1" applyBorder="1" applyAlignment="1" applyProtection="1">
      <alignment horizontal="center" wrapText="1"/>
      <protection/>
    </xf>
    <xf numFmtId="0" fontId="51" fillId="0" borderId="134" xfId="0" applyFont="1" applyFill="1" applyBorder="1" applyAlignment="1" applyProtection="1">
      <alignment horizontal="center"/>
      <protection/>
    </xf>
    <xf numFmtId="0" fontId="0" fillId="0" borderId="58" xfId="0" applyFont="1" applyFill="1" applyBorder="1" applyAlignment="1" applyProtection="1">
      <alignment horizontal="center" wrapText="1"/>
      <protection/>
    </xf>
    <xf numFmtId="11" fontId="0" fillId="0" borderId="58" xfId="0" applyNumberFormat="1" applyFont="1" applyFill="1" applyBorder="1" applyAlignment="1" applyProtection="1">
      <alignment horizontal="center" wrapText="1"/>
      <protection/>
    </xf>
    <xf numFmtId="0" fontId="0" fillId="0" borderId="58" xfId="0" applyNumberFormat="1" applyFont="1" applyFill="1" applyBorder="1" applyAlignment="1">
      <alignment horizontal="center" wrapText="1"/>
    </xf>
    <xf numFmtId="0" fontId="0" fillId="0" borderId="59" xfId="0" applyNumberFormat="1" applyFont="1" applyFill="1" applyBorder="1" applyAlignment="1">
      <alignment horizontal="center" wrapText="1"/>
    </xf>
    <xf numFmtId="0" fontId="51" fillId="0" borderId="135" xfId="0" applyFont="1" applyFill="1" applyBorder="1" applyAlignment="1" applyProtection="1">
      <alignment horizontal="center"/>
      <protection/>
    </xf>
    <xf numFmtId="0" fontId="0" fillId="0" borderId="96" xfId="0" applyFont="1" applyFill="1" applyBorder="1" applyAlignment="1" applyProtection="1">
      <alignment horizontal="center" wrapText="1"/>
      <protection/>
    </xf>
    <xf numFmtId="11" fontId="0" fillId="0" borderId="96" xfId="0" applyNumberFormat="1" applyFont="1" applyFill="1" applyBorder="1" applyAlignment="1" applyProtection="1">
      <alignment horizontal="center" wrapText="1"/>
      <protection/>
    </xf>
    <xf numFmtId="0" fontId="0" fillId="0" borderId="96" xfId="0" applyNumberFormat="1" applyFont="1" applyFill="1" applyBorder="1" applyAlignment="1">
      <alignment horizontal="center" wrapText="1"/>
    </xf>
    <xf numFmtId="0" fontId="0" fillId="0" borderId="136" xfId="0" applyNumberFormat="1" applyFont="1" applyFill="1" applyBorder="1" applyAlignment="1">
      <alignment horizontal="center" wrapText="1"/>
    </xf>
    <xf numFmtId="11" fontId="0" fillId="0" borderId="0" xfId="0" applyNumberFormat="1" applyFont="1" applyFill="1" applyBorder="1" applyAlignment="1" applyProtection="1">
      <alignment horizontal="center"/>
      <protection/>
    </xf>
    <xf numFmtId="0" fontId="0" fillId="0" borderId="0" xfId="0" applyFont="1" applyFill="1" applyAlignment="1">
      <alignment horizontal="center"/>
    </xf>
    <xf numFmtId="11" fontId="0" fillId="0" borderId="0" xfId="0" applyNumberFormat="1" applyFont="1" applyFill="1" applyAlignment="1">
      <alignment horizontal="center"/>
    </xf>
    <xf numFmtId="11" fontId="0" fillId="0" borderId="36" xfId="0" applyNumberFormat="1" applyFont="1" applyFill="1" applyBorder="1" applyAlignment="1" applyProtection="1">
      <alignment horizontal="center"/>
      <protection/>
    </xf>
    <xf numFmtId="11" fontId="0" fillId="0" borderId="16" xfId="0" applyNumberFormat="1" applyFont="1" applyFill="1" applyBorder="1" applyAlignment="1" applyProtection="1">
      <alignment horizontal="center"/>
      <protection/>
    </xf>
    <xf numFmtId="166" fontId="0" fillId="0" borderId="0" xfId="0" applyNumberFormat="1" applyFont="1" applyFill="1" applyBorder="1" applyAlignment="1" applyProtection="1">
      <alignment horizontal="center"/>
      <protection/>
    </xf>
    <xf numFmtId="166" fontId="0" fillId="0" borderId="16" xfId="0" applyNumberFormat="1" applyFont="1" applyFill="1" applyBorder="1" applyAlignment="1" applyProtection="1">
      <alignment horizontal="center"/>
      <protection/>
    </xf>
    <xf numFmtId="166" fontId="52" fillId="0" borderId="0" xfId="0" applyNumberFormat="1" applyFont="1" applyFill="1" applyBorder="1" applyAlignment="1" applyProtection="1">
      <alignment horizontal="center"/>
      <protection/>
    </xf>
    <xf numFmtId="166" fontId="52" fillId="0" borderId="16" xfId="0" applyNumberFormat="1" applyFont="1" applyFill="1" applyBorder="1" applyAlignment="1" applyProtection="1">
      <alignment horizontal="center"/>
      <protection/>
    </xf>
    <xf numFmtId="0" fontId="0" fillId="0" borderId="0" xfId="0" applyFont="1" applyFill="1" applyAlignment="1" applyProtection="1">
      <alignment horizontal="center"/>
      <protection/>
    </xf>
    <xf numFmtId="0" fontId="0" fillId="0" borderId="0" xfId="0" applyFont="1" applyFill="1" applyBorder="1" applyAlignment="1" applyProtection="1">
      <alignment horizontal="center"/>
      <protection/>
    </xf>
    <xf numFmtId="0" fontId="0" fillId="0" borderId="0" xfId="59" applyFont="1" applyFill="1" applyBorder="1" applyProtection="1">
      <alignment/>
      <protection/>
    </xf>
    <xf numFmtId="0" fontId="0" fillId="0" borderId="0" xfId="59" applyFont="1" applyFill="1" applyBorder="1" applyAlignment="1" applyProtection="1">
      <alignment horizontal="right"/>
      <protection/>
    </xf>
    <xf numFmtId="0" fontId="0" fillId="0" borderId="0" xfId="59" applyFont="1" applyFill="1" applyBorder="1">
      <alignment/>
      <protection/>
    </xf>
    <xf numFmtId="14" fontId="8" fillId="34" borderId="0" xfId="60" applyNumberFormat="1" applyFont="1" applyFill="1">
      <alignment/>
      <protection/>
    </xf>
    <xf numFmtId="0" fontId="64" fillId="34" borderId="0" xfId="59" applyFont="1" applyFill="1" applyBorder="1" applyAlignment="1" applyProtection="1">
      <alignment/>
      <protection/>
    </xf>
    <xf numFmtId="0" fontId="7" fillId="34" borderId="11" xfId="0" applyFont="1" applyFill="1" applyBorder="1" applyAlignment="1">
      <alignment vertical="center"/>
    </xf>
    <xf numFmtId="0" fontId="7" fillId="34" borderId="12" xfId="0" applyFont="1" applyFill="1" applyBorder="1" applyAlignment="1">
      <alignment vertical="center"/>
    </xf>
    <xf numFmtId="0" fontId="69" fillId="34" borderId="137" xfId="59" applyFont="1" applyFill="1" applyBorder="1" applyAlignment="1" applyProtection="1">
      <alignment horizontal="center"/>
      <protection locked="0"/>
    </xf>
    <xf numFmtId="0" fontId="14" fillId="34" borderId="57" xfId="59" applyNumberFormat="1" applyFont="1" applyFill="1" applyBorder="1" applyAlignment="1" applyProtection="1">
      <alignment horizontal="center" vertical="center"/>
      <protection locked="0"/>
    </xf>
    <xf numFmtId="0" fontId="14" fillId="34" borderId="138" xfId="59" applyNumberFormat="1" applyFont="1" applyFill="1" applyBorder="1" applyAlignment="1" applyProtection="1">
      <alignment horizontal="center" vertical="center"/>
      <protection locked="0"/>
    </xf>
    <xf numFmtId="0" fontId="14" fillId="34" borderId="11" xfId="59" applyNumberFormat="1" applyFont="1" applyFill="1" applyBorder="1" applyAlignment="1" applyProtection="1">
      <alignment horizontal="center" vertical="center"/>
      <protection locked="0"/>
    </xf>
    <xf numFmtId="0" fontId="14" fillId="34" borderId="139" xfId="59" applyNumberFormat="1" applyFont="1" applyFill="1" applyBorder="1" applyAlignment="1" applyProtection="1">
      <alignment horizontal="center" vertical="center"/>
      <protection locked="0"/>
    </xf>
    <xf numFmtId="2" fontId="14" fillId="34" borderId="57" xfId="59" applyNumberFormat="1" applyFont="1" applyFill="1" applyBorder="1" applyAlignment="1" applyProtection="1">
      <alignment horizontal="center" vertical="center"/>
      <protection locked="0"/>
    </xf>
    <xf numFmtId="2" fontId="14" fillId="34" borderId="93" xfId="59" applyNumberFormat="1" applyFont="1" applyFill="1" applyBorder="1" applyAlignment="1" applyProtection="1">
      <alignment horizontal="center" vertical="center"/>
      <protection locked="0"/>
    </xf>
    <xf numFmtId="2" fontId="14" fillId="34" borderId="138" xfId="59" applyNumberFormat="1" applyFont="1" applyFill="1" applyBorder="1" applyAlignment="1" applyProtection="1">
      <alignment horizontal="center" vertical="center"/>
      <protection locked="0"/>
    </xf>
    <xf numFmtId="2" fontId="14" fillId="34" borderId="140" xfId="59" applyNumberFormat="1" applyFont="1" applyFill="1" applyBorder="1" applyAlignment="1" applyProtection="1">
      <alignment horizontal="center" vertical="center"/>
      <protection locked="0"/>
    </xf>
    <xf numFmtId="0" fontId="14" fillId="34" borderId="98" xfId="59" applyNumberFormat="1" applyFont="1" applyFill="1" applyBorder="1" applyAlignment="1" applyProtection="1">
      <alignment horizontal="center" vertical="center"/>
      <protection locked="0"/>
    </xf>
    <xf numFmtId="10" fontId="14" fillId="34" borderId="141" xfId="63" applyNumberFormat="1" applyFont="1" applyFill="1" applyBorder="1" applyAlignment="1" applyProtection="1">
      <alignment horizontal="center" vertical="center"/>
      <protection locked="0"/>
    </xf>
    <xf numFmtId="10" fontId="14" fillId="34" borderId="142" xfId="63" applyNumberFormat="1" applyFont="1" applyFill="1" applyBorder="1" applyAlignment="1" applyProtection="1">
      <alignment horizontal="center" vertical="center"/>
      <protection locked="0"/>
    </xf>
    <xf numFmtId="10" fontId="14" fillId="34" borderId="143" xfId="63" applyNumberFormat="1" applyFont="1" applyFill="1" applyBorder="1" applyAlignment="1" applyProtection="1">
      <alignment horizontal="center" vertical="center"/>
      <protection locked="0"/>
    </xf>
    <xf numFmtId="0" fontId="0" fillId="35" borderId="12" xfId="59" applyFont="1" applyFill="1" applyBorder="1" applyAlignment="1">
      <alignment horizontal="center"/>
      <protection/>
    </xf>
    <xf numFmtId="0" fontId="0" fillId="35" borderId="16" xfId="59" applyFont="1" applyFill="1" applyBorder="1" applyAlignment="1">
      <alignment horizontal="center"/>
      <protection/>
    </xf>
    <xf numFmtId="0" fontId="0" fillId="35" borderId="18" xfId="59" applyFont="1" applyFill="1" applyBorder="1" applyAlignment="1">
      <alignment horizontal="center"/>
      <protection/>
    </xf>
    <xf numFmtId="0" fontId="0" fillId="35" borderId="26" xfId="59" applyFont="1" applyFill="1" applyBorder="1" applyAlignment="1">
      <alignment horizontal="center"/>
      <protection/>
    </xf>
    <xf numFmtId="0" fontId="0" fillId="35" borderId="19" xfId="59" applyFont="1" applyFill="1" applyBorder="1" applyAlignment="1" applyProtection="1">
      <alignment horizontal="right"/>
      <protection/>
    </xf>
    <xf numFmtId="14" fontId="0" fillId="35" borderId="11" xfId="59" applyNumberFormat="1" applyFont="1" applyFill="1" applyBorder="1" applyAlignment="1" applyProtection="1">
      <alignment horizontal="right"/>
      <protection/>
    </xf>
    <xf numFmtId="0" fontId="0" fillId="35" borderId="12" xfId="59" applyFont="1" applyFill="1" applyBorder="1" applyAlignment="1" applyProtection="1">
      <alignment horizontal="right"/>
      <protection/>
    </xf>
    <xf numFmtId="14" fontId="0" fillId="35" borderId="15" xfId="59" applyNumberFormat="1" applyFont="1" applyFill="1" applyBorder="1" applyAlignment="1" applyProtection="1">
      <alignment horizontal="right"/>
      <protection/>
    </xf>
    <xf numFmtId="0" fontId="0" fillId="35" borderId="18" xfId="59" applyFont="1" applyFill="1" applyBorder="1" applyAlignment="1" applyProtection="1">
      <alignment horizontal="right"/>
      <protection/>
    </xf>
    <xf numFmtId="0" fontId="0" fillId="35" borderId="25" xfId="59" applyFont="1" applyFill="1" applyBorder="1">
      <alignment/>
      <protection/>
    </xf>
    <xf numFmtId="14" fontId="0" fillId="35" borderId="11" xfId="59" applyNumberFormat="1" applyFont="1" applyFill="1" applyBorder="1">
      <alignment/>
      <protection/>
    </xf>
    <xf numFmtId="14" fontId="0" fillId="35" borderId="15" xfId="59" applyNumberFormat="1" applyFont="1" applyFill="1" applyBorder="1">
      <alignment/>
      <protection/>
    </xf>
    <xf numFmtId="14" fontId="0" fillId="0" borderId="0" xfId="59" applyNumberFormat="1" applyFont="1" applyFill="1" applyBorder="1" applyAlignment="1" applyProtection="1">
      <alignment horizontal="right"/>
      <protection/>
    </xf>
    <xf numFmtId="2" fontId="0" fillId="0" borderId="0" xfId="0" applyNumberFormat="1" applyFont="1" applyFill="1" applyBorder="1" applyAlignment="1">
      <alignment vertical="center"/>
    </xf>
    <xf numFmtId="0" fontId="10" fillId="34" borderId="144" xfId="0" applyFont="1" applyFill="1" applyBorder="1" applyAlignment="1">
      <alignment vertical="center"/>
    </xf>
    <xf numFmtId="0" fontId="10" fillId="34" borderId="145" xfId="0" applyFont="1" applyFill="1" applyBorder="1" applyAlignment="1">
      <alignment vertical="center"/>
    </xf>
    <xf numFmtId="0" fontId="10" fillId="34" borderId="146" xfId="0" applyFont="1" applyFill="1" applyBorder="1" applyAlignment="1">
      <alignment vertical="center"/>
    </xf>
    <xf numFmtId="0" fontId="10" fillId="34" borderId="16" xfId="0" applyFont="1" applyFill="1" applyBorder="1" applyAlignment="1">
      <alignment vertical="distributed"/>
    </xf>
    <xf numFmtId="0" fontId="0" fillId="34" borderId="86" xfId="0" applyFont="1" applyFill="1" applyBorder="1" applyAlignment="1">
      <alignment horizontal="center" vertical="center"/>
    </xf>
    <xf numFmtId="168" fontId="0" fillId="0" borderId="0" xfId="0" applyNumberFormat="1" applyFont="1" applyFill="1" applyBorder="1" applyAlignment="1">
      <alignment horizontal="center" vertical="center"/>
    </xf>
    <xf numFmtId="168" fontId="0" fillId="0" borderId="16" xfId="0" applyNumberFormat="1" applyFont="1" applyFill="1" applyBorder="1" applyAlignment="1">
      <alignment horizontal="center" vertical="center"/>
    </xf>
    <xf numFmtId="0" fontId="0" fillId="0" borderId="147" xfId="0" applyFont="1" applyFill="1" applyBorder="1" applyAlignment="1">
      <alignment horizontal="center" vertical="center"/>
    </xf>
    <xf numFmtId="173" fontId="0" fillId="0" borderId="103" xfId="0" applyNumberFormat="1" applyFont="1" applyFill="1" applyBorder="1" applyAlignment="1">
      <alignment horizontal="center" vertical="center"/>
    </xf>
    <xf numFmtId="173" fontId="0" fillId="0" borderId="130" xfId="0" applyNumberFormat="1" applyFont="1" applyFill="1" applyBorder="1" applyAlignment="1">
      <alignment horizontal="center" vertical="center"/>
    </xf>
    <xf numFmtId="0" fontId="0" fillId="0" borderId="14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49" xfId="0" applyFont="1" applyFill="1" applyBorder="1" applyAlignment="1">
      <alignment horizontal="center" vertical="center"/>
    </xf>
    <xf numFmtId="168" fontId="0" fillId="0" borderId="150"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75" fillId="34" borderId="80" xfId="0" applyFont="1" applyFill="1" applyBorder="1" applyAlignment="1">
      <alignment horizontal="center" vertical="center"/>
    </xf>
    <xf numFmtId="0" fontId="75" fillId="34" borderId="67" xfId="0" applyFont="1" applyFill="1" applyBorder="1" applyAlignment="1">
      <alignment horizontal="center" vertical="center"/>
    </xf>
    <xf numFmtId="0" fontId="75" fillId="34" borderId="60" xfId="0" applyFont="1" applyFill="1" applyBorder="1" applyAlignment="1">
      <alignment horizontal="center" vertical="center"/>
    </xf>
    <xf numFmtId="0" fontId="0" fillId="34" borderId="90" xfId="0" applyFont="1" applyFill="1" applyBorder="1" applyAlignment="1">
      <alignment horizontal="center" vertical="center" wrapText="1"/>
    </xf>
    <xf numFmtId="0" fontId="10" fillId="34" borderId="0" xfId="0" applyFont="1" applyFill="1" applyBorder="1" applyAlignment="1">
      <alignment vertical="distributed"/>
    </xf>
    <xf numFmtId="0" fontId="7" fillId="0" borderId="13" xfId="60" applyFont="1" applyFill="1" applyBorder="1">
      <alignment/>
      <protection/>
    </xf>
    <xf numFmtId="14" fontId="7" fillId="0" borderId="13" xfId="60" applyNumberFormat="1" applyFont="1" applyFill="1" applyBorder="1">
      <alignment/>
      <protection/>
    </xf>
    <xf numFmtId="0" fontId="9" fillId="34" borderId="11" xfId="0" applyFont="1" applyFill="1" applyBorder="1" applyAlignment="1">
      <alignment horizontal="center" vertical="center"/>
    </xf>
    <xf numFmtId="173" fontId="8" fillId="35" borderId="0" xfId="0" applyNumberFormat="1" applyFont="1" applyFill="1" applyBorder="1" applyAlignment="1">
      <alignment horizontal="center" vertical="center"/>
    </xf>
    <xf numFmtId="0" fontId="8" fillId="34" borderId="119" xfId="0" applyFont="1" applyFill="1" applyBorder="1" applyAlignment="1">
      <alignment horizontal="center" vertical="center"/>
    </xf>
    <xf numFmtId="0" fontId="8" fillId="35" borderId="92" xfId="0" applyFont="1" applyFill="1" applyBorder="1" applyAlignment="1">
      <alignment horizontal="center" vertical="center"/>
    </xf>
    <xf numFmtId="0" fontId="8" fillId="35" borderId="84" xfId="0" applyFont="1" applyFill="1" applyBorder="1" applyAlignment="1">
      <alignment horizontal="center" vertical="center"/>
    </xf>
    <xf numFmtId="0" fontId="8" fillId="35" borderId="151" xfId="0" applyFont="1" applyFill="1" applyBorder="1" applyAlignment="1">
      <alignment horizontal="center" vertical="center"/>
    </xf>
    <xf numFmtId="0" fontId="63" fillId="0" borderId="13" xfId="59" applyFont="1" applyFill="1" applyBorder="1" applyAlignment="1" applyProtection="1">
      <alignment horizontal="center" vertical="center"/>
      <protection/>
    </xf>
    <xf numFmtId="0" fontId="63" fillId="34" borderId="0" xfId="59" applyFont="1" applyFill="1" applyBorder="1" applyAlignment="1" applyProtection="1">
      <alignment horizontal="center"/>
      <protection/>
    </xf>
    <xf numFmtId="0" fontId="63" fillId="0" borderId="13" xfId="60" applyFont="1" applyFill="1" applyBorder="1" applyAlignment="1">
      <alignment horizontal="center"/>
      <protection/>
    </xf>
    <xf numFmtId="0" fontId="63" fillId="34" borderId="0" xfId="60" applyFont="1" applyFill="1" applyAlignment="1">
      <alignment horizontal="center"/>
      <protection/>
    </xf>
    <xf numFmtId="0" fontId="76" fillId="38" borderId="0" xfId="57" applyFont="1" applyFill="1" applyBorder="1" applyAlignment="1">
      <alignment horizontal="center"/>
      <protection/>
    </xf>
    <xf numFmtId="0" fontId="23" fillId="34" borderId="0" xfId="59" applyFont="1" applyFill="1" applyBorder="1" applyAlignment="1" applyProtection="1">
      <alignment/>
      <protection/>
    </xf>
    <xf numFmtId="0" fontId="69" fillId="34" borderId="0" xfId="59" applyFont="1" applyFill="1" applyBorder="1" applyAlignment="1" applyProtection="1">
      <alignment horizontal="right"/>
      <protection/>
    </xf>
    <xf numFmtId="14" fontId="78" fillId="34" borderId="27" xfId="59" applyNumberFormat="1" applyFont="1" applyFill="1" applyBorder="1" applyAlignment="1" applyProtection="1">
      <alignment horizontal="right"/>
      <protection locked="0"/>
    </xf>
    <xf numFmtId="0" fontId="78" fillId="34" borderId="152" xfId="59" applyFont="1" applyFill="1" applyBorder="1" applyAlignment="1" applyProtection="1">
      <alignment horizontal="right" vertical="center"/>
      <protection/>
    </xf>
    <xf numFmtId="0" fontId="79" fillId="34" borderId="93" xfId="59" applyFont="1" applyFill="1" applyBorder="1" applyAlignment="1" applyProtection="1">
      <alignment horizontal="right" vertical="center"/>
      <protection/>
    </xf>
    <xf numFmtId="0" fontId="78" fillId="34" borderId="140" xfId="59" applyFont="1" applyFill="1" applyBorder="1" applyAlignment="1" applyProtection="1">
      <alignment horizontal="right" vertical="center"/>
      <protection/>
    </xf>
    <xf numFmtId="0" fontId="78" fillId="34" borderId="12" xfId="59" applyFont="1" applyFill="1" applyBorder="1" applyAlignment="1" applyProtection="1">
      <alignment vertical="center"/>
      <protection/>
    </xf>
    <xf numFmtId="0" fontId="78" fillId="34" borderId="93" xfId="59" applyFont="1" applyFill="1" applyBorder="1" applyAlignment="1" applyProtection="1">
      <alignment horizontal="right" vertical="center"/>
      <protection/>
    </xf>
    <xf numFmtId="0" fontId="78" fillId="34" borderId="18" xfId="59" applyFont="1" applyFill="1" applyBorder="1" applyAlignment="1" applyProtection="1">
      <alignment horizontal="right" vertical="center"/>
      <protection/>
    </xf>
    <xf numFmtId="0" fontId="14" fillId="34" borderId="115" xfId="59" applyFont="1" applyFill="1" applyBorder="1" applyAlignment="1" applyProtection="1">
      <alignment horizontal="center"/>
      <protection/>
    </xf>
    <xf numFmtId="0" fontId="14" fillId="34" borderId="113" xfId="59" applyFont="1" applyFill="1" applyBorder="1" applyAlignment="1" applyProtection="1">
      <alignment horizontal="center"/>
      <protection/>
    </xf>
    <xf numFmtId="0" fontId="14" fillId="34" borderId="0" xfId="60" applyFont="1" applyFill="1" applyAlignment="1">
      <alignment horizontal="right"/>
      <protection/>
    </xf>
    <xf numFmtId="0" fontId="80" fillId="34" borderId="0" xfId="59" applyFont="1" applyFill="1" applyBorder="1" applyProtection="1">
      <alignment/>
      <protection/>
    </xf>
    <xf numFmtId="0" fontId="80" fillId="34" borderId="0" xfId="59" applyFont="1" applyFill="1" applyBorder="1" applyAlignment="1" applyProtection="1">
      <alignment horizontal="left"/>
      <protection/>
    </xf>
    <xf numFmtId="0" fontId="80" fillId="34" borderId="0" xfId="60" applyFont="1" applyFill="1" applyBorder="1" applyProtection="1">
      <alignment/>
      <protection/>
    </xf>
    <xf numFmtId="0" fontId="80" fillId="34" borderId="0" xfId="0" applyFont="1" applyFill="1" applyAlignment="1">
      <alignment horizontal="right"/>
    </xf>
    <xf numFmtId="0" fontId="80" fillId="34" borderId="0" xfId="60" applyFont="1" applyFill="1">
      <alignment/>
      <protection/>
    </xf>
    <xf numFmtId="0" fontId="14" fillId="34" borderId="113" xfId="60" applyFont="1" applyFill="1" applyBorder="1" applyAlignment="1" applyProtection="1">
      <alignment horizontal="center"/>
      <protection/>
    </xf>
    <xf numFmtId="0" fontId="14" fillId="34" borderId="27" xfId="60" applyFont="1" applyFill="1" applyBorder="1" applyAlignment="1" applyProtection="1">
      <alignment horizontal="center"/>
      <protection/>
    </xf>
    <xf numFmtId="0" fontId="14" fillId="34" borderId="114" xfId="60" applyFont="1" applyFill="1" applyBorder="1" applyAlignment="1" applyProtection="1">
      <alignment horizontal="center" wrapText="1"/>
      <protection/>
    </xf>
    <xf numFmtId="0" fontId="23" fillId="34" borderId="0" xfId="60" applyFont="1" applyFill="1" applyBorder="1" applyProtection="1">
      <alignment/>
      <protection/>
    </xf>
    <xf numFmtId="0" fontId="65" fillId="34" borderId="25" xfId="60" applyFont="1" applyFill="1" applyBorder="1" applyProtection="1">
      <alignment/>
      <protection/>
    </xf>
    <xf numFmtId="0" fontId="69" fillId="34" borderId="26" xfId="60" applyFont="1" applyFill="1" applyBorder="1" applyAlignment="1" applyProtection="1">
      <alignment horizontal="left"/>
      <protection locked="0"/>
    </xf>
    <xf numFmtId="0" fontId="69" fillId="34" borderId="27" xfId="60" applyFont="1" applyFill="1" applyBorder="1" applyAlignment="1" applyProtection="1">
      <alignment horizontal="left"/>
      <protection locked="0"/>
    </xf>
    <xf numFmtId="0" fontId="14" fillId="34" borderId="11" xfId="60" applyFont="1" applyFill="1" applyBorder="1" applyProtection="1">
      <alignment/>
      <protection/>
    </xf>
    <xf numFmtId="0" fontId="14" fillId="34" borderId="0" xfId="60" applyFont="1" applyFill="1" applyBorder="1" applyProtection="1">
      <alignment/>
      <protection/>
    </xf>
    <xf numFmtId="0" fontId="14" fillId="34" borderId="12" xfId="60" applyFont="1" applyFill="1" applyBorder="1" applyAlignment="1" applyProtection="1">
      <alignment horizontal="right"/>
      <protection/>
    </xf>
    <xf numFmtId="0" fontId="14" fillId="34" borderId="0" xfId="60" applyFont="1" applyFill="1" applyBorder="1" applyAlignment="1" applyProtection="1">
      <alignment horizontal="right"/>
      <protection/>
    </xf>
    <xf numFmtId="0" fontId="14" fillId="34" borderId="12" xfId="60" applyFont="1" applyFill="1" applyBorder="1" applyProtection="1">
      <alignment/>
      <protection/>
    </xf>
    <xf numFmtId="0" fontId="14" fillId="0" borderId="153" xfId="60" applyFont="1" applyFill="1" applyBorder="1" applyAlignment="1" applyProtection="1">
      <alignment horizontal="center"/>
      <protection locked="0"/>
    </xf>
    <xf numFmtId="0" fontId="14" fillId="0" borderId="114" xfId="60" applyFont="1" applyFill="1" applyBorder="1" applyAlignment="1" applyProtection="1">
      <alignment horizontal="center"/>
      <protection locked="0"/>
    </xf>
    <xf numFmtId="0" fontId="14" fillId="0" borderId="115" xfId="60" applyFont="1" applyFill="1" applyBorder="1" applyAlignment="1" applyProtection="1">
      <alignment horizontal="center"/>
      <protection locked="0"/>
    </xf>
    <xf numFmtId="0" fontId="82" fillId="34" borderId="0" xfId="0" applyFont="1" applyFill="1" applyAlignment="1">
      <alignment vertical="center"/>
    </xf>
    <xf numFmtId="0" fontId="82" fillId="34" borderId="48" xfId="0" applyFont="1" applyFill="1" applyBorder="1" applyAlignment="1">
      <alignment vertical="center"/>
    </xf>
    <xf numFmtId="0" fontId="7" fillId="34" borderId="0" xfId="0" applyFont="1" applyFill="1" applyAlignment="1">
      <alignment vertical="center"/>
    </xf>
    <xf numFmtId="0" fontId="14" fillId="34" borderId="15" xfId="0" applyFont="1" applyFill="1" applyBorder="1" applyAlignment="1">
      <alignment vertical="center"/>
    </xf>
    <xf numFmtId="0" fontId="14" fillId="34" borderId="16" xfId="0" applyFont="1" applyFill="1" applyBorder="1" applyAlignment="1">
      <alignment vertical="center"/>
    </xf>
    <xf numFmtId="0" fontId="14" fillId="34" borderId="16" xfId="0" applyFont="1" applyFill="1" applyBorder="1" applyAlignment="1">
      <alignment horizontal="right" vertical="center"/>
    </xf>
    <xf numFmtId="0" fontId="14" fillId="34" borderId="18" xfId="0" applyFont="1" applyFill="1" applyBorder="1" applyAlignment="1">
      <alignment horizontal="center" vertical="center"/>
    </xf>
    <xf numFmtId="0" fontId="14" fillId="34" borderId="11" xfId="0" applyFont="1" applyFill="1" applyBorder="1" applyAlignment="1">
      <alignment vertical="center"/>
    </xf>
    <xf numFmtId="0" fontId="14" fillId="34" borderId="0" xfId="0" applyFont="1" applyFill="1" applyBorder="1" applyAlignment="1">
      <alignment vertical="center"/>
    </xf>
    <xf numFmtId="0" fontId="14" fillId="34" borderId="10" xfId="0" applyFont="1" applyFill="1" applyBorder="1" applyAlignment="1">
      <alignment vertical="center"/>
    </xf>
    <xf numFmtId="0" fontId="14" fillId="34" borderId="17" xfId="0" applyFont="1" applyFill="1" applyBorder="1" applyAlignment="1">
      <alignment vertical="center"/>
    </xf>
    <xf numFmtId="0" fontId="14" fillId="34" borderId="17" xfId="0" applyFont="1" applyFill="1" applyBorder="1" applyAlignment="1">
      <alignment horizontal="right" vertical="center"/>
    </xf>
    <xf numFmtId="0" fontId="14" fillId="34" borderId="17" xfId="0" applyFont="1" applyFill="1" applyBorder="1" applyAlignment="1">
      <alignment horizontal="center" vertical="center"/>
    </xf>
    <xf numFmtId="0" fontId="14" fillId="34" borderId="25" xfId="0" applyFont="1" applyFill="1" applyBorder="1" applyAlignment="1">
      <alignment vertical="center"/>
    </xf>
    <xf numFmtId="0" fontId="14" fillId="34" borderId="26" xfId="0" applyFont="1" applyFill="1" applyBorder="1" applyAlignment="1">
      <alignment vertical="center"/>
    </xf>
    <xf numFmtId="0" fontId="65" fillId="34" borderId="0" xfId="0" applyFont="1" applyFill="1" applyAlignment="1">
      <alignment horizontal="right" vertical="center"/>
    </xf>
    <xf numFmtId="0" fontId="65" fillId="34" borderId="48" xfId="0" applyFont="1" applyFill="1" applyBorder="1" applyAlignment="1">
      <alignment horizontal="right" vertical="center"/>
    </xf>
    <xf numFmtId="49" fontId="65" fillId="35" borderId="28" xfId="0" applyNumberFormat="1" applyFont="1" applyFill="1" applyBorder="1" applyAlignment="1">
      <alignment horizontal="left" vertical="center"/>
    </xf>
    <xf numFmtId="0" fontId="65" fillId="35" borderId="49" xfId="0" applyFont="1" applyFill="1" applyBorder="1" applyAlignment="1">
      <alignment vertical="center"/>
    </xf>
    <xf numFmtId="0" fontId="23" fillId="34" borderId="0" xfId="0" applyFont="1" applyFill="1" applyAlignment="1">
      <alignment vertical="center"/>
    </xf>
    <xf numFmtId="0" fontId="14" fillId="34" borderId="154" xfId="0" applyFont="1" applyFill="1" applyBorder="1" applyAlignment="1">
      <alignment vertical="center"/>
    </xf>
    <xf numFmtId="0" fontId="14" fillId="34" borderId="89" xfId="0" applyFont="1" applyFill="1" applyBorder="1" applyAlignment="1">
      <alignment vertical="center"/>
    </xf>
    <xf numFmtId="0" fontId="23" fillId="34" borderId="16" xfId="0" applyFont="1" applyFill="1" applyBorder="1" applyAlignment="1">
      <alignment vertical="center"/>
    </xf>
    <xf numFmtId="0" fontId="78" fillId="34" borderId="155" xfId="0" applyFont="1" applyFill="1" applyBorder="1" applyAlignment="1">
      <alignment vertical="center"/>
    </xf>
    <xf numFmtId="0" fontId="78" fillId="34" borderId="91" xfId="0" applyFont="1" applyFill="1" applyBorder="1" applyAlignment="1">
      <alignment vertical="center"/>
    </xf>
    <xf numFmtId="14" fontId="78" fillId="34" borderId="91" xfId="0" applyNumberFormat="1" applyFont="1" applyFill="1" applyBorder="1" applyAlignment="1">
      <alignment horizontal="center" vertical="center"/>
    </xf>
    <xf numFmtId="0" fontId="78" fillId="34" borderId="156" xfId="0" applyFont="1" applyFill="1" applyBorder="1" applyAlignment="1">
      <alignment horizontal="left" vertical="center"/>
    </xf>
    <xf numFmtId="0" fontId="78" fillId="34" borderId="157" xfId="0" applyFont="1" applyFill="1" applyBorder="1" applyAlignment="1">
      <alignment horizontal="left" vertical="center"/>
    </xf>
    <xf numFmtId="0" fontId="78" fillId="34" borderId="157" xfId="0" applyFont="1" applyFill="1" applyBorder="1" applyAlignment="1">
      <alignment horizontal="center" vertical="center"/>
    </xf>
    <xf numFmtId="14" fontId="78" fillId="34" borderId="157" xfId="0" applyNumberFormat="1" applyFont="1" applyFill="1" applyBorder="1" applyAlignment="1">
      <alignment horizontal="center" vertical="center"/>
    </xf>
    <xf numFmtId="0" fontId="78" fillId="34" borderId="87" xfId="0" applyFont="1" applyFill="1" applyBorder="1" applyAlignment="1">
      <alignment horizontal="left" vertical="center"/>
    </xf>
    <xf numFmtId="0" fontId="78" fillId="34" borderId="81" xfId="0" applyFont="1" applyFill="1" applyBorder="1" applyAlignment="1">
      <alignment horizontal="left" vertical="center"/>
    </xf>
    <xf numFmtId="0" fontId="78" fillId="34" borderId="81" xfId="0" applyFont="1" applyFill="1" applyBorder="1" applyAlignment="1">
      <alignment horizontal="center" vertical="center"/>
    </xf>
    <xf numFmtId="14" fontId="78" fillId="34" borderId="81" xfId="0" applyNumberFormat="1" applyFont="1" applyFill="1" applyBorder="1" applyAlignment="1">
      <alignment horizontal="center" vertical="center"/>
    </xf>
    <xf numFmtId="0" fontId="78" fillId="34" borderId="89" xfId="0" applyFont="1" applyFill="1" applyBorder="1" applyAlignment="1">
      <alignment horizontal="left" vertical="center"/>
    </xf>
    <xf numFmtId="0" fontId="78" fillId="34" borderId="90" xfId="0" applyFont="1" applyFill="1" applyBorder="1" applyAlignment="1">
      <alignment horizontal="left" vertical="center"/>
    </xf>
    <xf numFmtId="0" fontId="78" fillId="34" borderId="90" xfId="0" applyFont="1" applyFill="1" applyBorder="1" applyAlignment="1">
      <alignment horizontal="center" vertical="center"/>
    </xf>
    <xf numFmtId="14" fontId="78" fillId="34" borderId="90" xfId="0" applyNumberFormat="1" applyFont="1" applyFill="1" applyBorder="1" applyAlignment="1">
      <alignment horizontal="center" vertical="center"/>
    </xf>
    <xf numFmtId="0" fontId="78" fillId="34" borderId="25" xfId="0" applyFont="1" applyFill="1" applyBorder="1" applyAlignment="1">
      <alignment horizontal="left" vertical="center"/>
    </xf>
    <xf numFmtId="0" fontId="78" fillId="34" borderId="26" xfId="0" applyFont="1" applyFill="1" applyBorder="1" applyAlignment="1">
      <alignment horizontal="center" vertical="center"/>
    </xf>
    <xf numFmtId="14" fontId="78" fillId="34" borderId="26" xfId="0" applyNumberFormat="1" applyFont="1" applyFill="1" applyBorder="1" applyAlignment="1">
      <alignment horizontal="center" vertical="center"/>
    </xf>
    <xf numFmtId="0" fontId="78" fillId="34" borderId="25" xfId="0" applyFont="1" applyFill="1" applyBorder="1" applyAlignment="1">
      <alignment horizontal="center" vertical="center"/>
    </xf>
    <xf numFmtId="0" fontId="78" fillId="34" borderId="26" xfId="0" applyFont="1" applyFill="1" applyBorder="1" applyAlignment="1">
      <alignment vertical="center"/>
    </xf>
    <xf numFmtId="14" fontId="78" fillId="34" borderId="115" xfId="0" applyNumberFormat="1" applyFont="1" applyFill="1" applyBorder="1" applyAlignment="1">
      <alignment horizontal="center" vertical="center"/>
    </xf>
    <xf numFmtId="0" fontId="78" fillId="34" borderId="85" xfId="0" applyFont="1" applyFill="1" applyBorder="1" applyAlignment="1">
      <alignment horizontal="left" vertical="center"/>
    </xf>
    <xf numFmtId="0" fontId="78" fillId="34" borderId="86" xfId="0" applyFont="1" applyFill="1" applyBorder="1" applyAlignment="1">
      <alignment horizontal="left" vertical="center"/>
    </xf>
    <xf numFmtId="0" fontId="78" fillId="34" borderId="86" xfId="0" applyFont="1" applyFill="1" applyBorder="1" applyAlignment="1">
      <alignment vertical="center"/>
    </xf>
    <xf numFmtId="14" fontId="78" fillId="34" borderId="56" xfId="0" applyNumberFormat="1" applyFont="1" applyFill="1" applyBorder="1" applyAlignment="1">
      <alignment horizontal="center" vertical="center"/>
    </xf>
    <xf numFmtId="0" fontId="78" fillId="34" borderId="81" xfId="0" applyFont="1" applyFill="1" applyBorder="1" applyAlignment="1">
      <alignment vertical="center"/>
    </xf>
    <xf numFmtId="14" fontId="78" fillId="34" borderId="59" xfId="0" applyNumberFormat="1" applyFont="1" applyFill="1" applyBorder="1" applyAlignment="1">
      <alignment horizontal="center" vertical="center"/>
    </xf>
    <xf numFmtId="0" fontId="78" fillId="34" borderId="90" xfId="0" applyFont="1" applyFill="1" applyBorder="1" applyAlignment="1">
      <alignment vertical="center"/>
    </xf>
    <xf numFmtId="14" fontId="78" fillId="34" borderId="60" xfId="0" applyNumberFormat="1" applyFont="1" applyFill="1" applyBorder="1" applyAlignment="1">
      <alignment horizontal="center" vertical="center"/>
    </xf>
    <xf numFmtId="0" fontId="78" fillId="34" borderId="25" xfId="0" applyFont="1" applyFill="1" applyBorder="1" applyAlignment="1">
      <alignment vertical="center"/>
    </xf>
    <xf numFmtId="0" fontId="78" fillId="34" borderId="11" xfId="0" applyFont="1" applyFill="1" applyBorder="1" applyAlignment="1">
      <alignment vertical="center"/>
    </xf>
    <xf numFmtId="0" fontId="78" fillId="34" borderId="0" xfId="0" applyFont="1" applyFill="1" applyBorder="1" applyAlignment="1">
      <alignment vertical="center"/>
    </xf>
    <xf numFmtId="0" fontId="78" fillId="34" borderId="94" xfId="0" applyFont="1" applyFill="1" applyBorder="1" applyAlignment="1">
      <alignment horizontal="left" vertical="center"/>
    </xf>
    <xf numFmtId="0" fontId="78" fillId="34" borderId="88" xfId="0" applyFont="1" applyFill="1" applyBorder="1" applyAlignment="1">
      <alignment vertical="center"/>
    </xf>
    <xf numFmtId="0" fontId="85" fillId="38" borderId="0" xfId="57" applyFont="1" applyFill="1" applyBorder="1" applyAlignment="1">
      <alignment horizontal="center"/>
      <protection/>
    </xf>
    <xf numFmtId="0" fontId="14" fillId="0" borderId="153" xfId="59" applyFont="1" applyFill="1" applyBorder="1" applyAlignment="1" applyProtection="1">
      <alignment horizontal="center"/>
      <protection locked="0"/>
    </xf>
    <xf numFmtId="0" fontId="14" fillId="0" borderId="114" xfId="59" applyFont="1" applyFill="1" applyBorder="1" applyAlignment="1" applyProtection="1">
      <alignment horizontal="center"/>
      <protection locked="0"/>
    </xf>
    <xf numFmtId="0" fontId="14" fillId="0" borderId="115" xfId="59" applyFont="1" applyFill="1" applyBorder="1" applyAlignment="1" applyProtection="1">
      <alignment horizontal="center"/>
      <protection locked="0"/>
    </xf>
    <xf numFmtId="0" fontId="89" fillId="34" borderId="139" xfId="59" applyFont="1" applyFill="1" applyBorder="1" applyAlignment="1" applyProtection="1">
      <alignment horizontal="center"/>
      <protection/>
    </xf>
    <xf numFmtId="14" fontId="14" fillId="0" borderId="72" xfId="59" applyNumberFormat="1" applyFont="1" applyFill="1" applyBorder="1" applyAlignment="1" applyProtection="1">
      <alignment horizontal="center"/>
      <protection locked="0"/>
    </xf>
    <xf numFmtId="0" fontId="89" fillId="34" borderId="57" xfId="59" applyFont="1" applyFill="1" applyBorder="1" applyAlignment="1" applyProtection="1">
      <alignment horizontal="center"/>
      <protection/>
    </xf>
    <xf numFmtId="14" fontId="14" fillId="0" borderId="59" xfId="59" applyNumberFormat="1" applyFont="1" applyFill="1" applyBorder="1" applyAlignment="1" applyProtection="1">
      <alignment horizontal="center"/>
      <protection locked="0"/>
    </xf>
    <xf numFmtId="0" fontId="89" fillId="34" borderId="80" xfId="59" applyFont="1" applyFill="1" applyBorder="1" applyAlignment="1" applyProtection="1">
      <alignment horizontal="center"/>
      <protection/>
    </xf>
    <xf numFmtId="14" fontId="14" fillId="0" borderId="60" xfId="59" applyNumberFormat="1" applyFont="1" applyFill="1" applyBorder="1" applyAlignment="1" applyProtection="1">
      <alignment horizontal="center"/>
      <protection locked="0"/>
    </xf>
    <xf numFmtId="0" fontId="90" fillId="34" borderId="54" xfId="60" applyFont="1" applyFill="1" applyBorder="1" applyAlignment="1" applyProtection="1">
      <alignment horizontal="center"/>
      <protection/>
    </xf>
    <xf numFmtId="0" fontId="90" fillId="34" borderId="57" xfId="60" applyFont="1" applyFill="1" applyBorder="1" applyAlignment="1" applyProtection="1">
      <alignment horizontal="center"/>
      <protection/>
    </xf>
    <xf numFmtId="0" fontId="90" fillId="34" borderId="80" xfId="60" applyFont="1" applyFill="1" applyBorder="1" applyAlignment="1" applyProtection="1">
      <alignment horizontal="center"/>
      <protection/>
    </xf>
    <xf numFmtId="1" fontId="8" fillId="34" borderId="54" xfId="60" applyNumberFormat="1" applyFont="1" applyFill="1" applyBorder="1" applyAlignment="1" applyProtection="1">
      <alignment horizontal="center"/>
      <protection/>
    </xf>
    <xf numFmtId="1" fontId="8" fillId="34" borderId="55" xfId="60" applyNumberFormat="1" applyFont="1" applyFill="1" applyBorder="1" applyAlignment="1" applyProtection="1">
      <alignment horizontal="center"/>
      <protection/>
    </xf>
    <xf numFmtId="1" fontId="8" fillId="34" borderId="56" xfId="60" applyNumberFormat="1" applyFont="1" applyFill="1" applyBorder="1" applyAlignment="1" applyProtection="1">
      <alignment horizontal="center"/>
      <protection/>
    </xf>
    <xf numFmtId="0" fontId="8" fillId="34" borderId="57" xfId="60" applyNumberFormat="1" applyFont="1" applyFill="1" applyBorder="1" applyAlignment="1" applyProtection="1">
      <alignment horizontal="center"/>
      <protection/>
    </xf>
    <xf numFmtId="0" fontId="8" fillId="34" borderId="58" xfId="60" applyNumberFormat="1" applyFont="1" applyFill="1" applyBorder="1" applyAlignment="1" applyProtection="1">
      <alignment horizontal="center"/>
      <protection/>
    </xf>
    <xf numFmtId="0" fontId="8" fillId="34" borderId="59" xfId="60" applyNumberFormat="1" applyFont="1" applyFill="1" applyBorder="1" applyAlignment="1" applyProtection="1">
      <alignment horizontal="center"/>
      <protection/>
    </xf>
    <xf numFmtId="0" fontId="88" fillId="34" borderId="158" xfId="60" applyFont="1" applyFill="1" applyBorder="1" applyAlignment="1" applyProtection="1">
      <alignment horizontal="center"/>
      <protection/>
    </xf>
    <xf numFmtId="0" fontId="88" fillId="34" borderId="159" xfId="60" applyFont="1" applyFill="1" applyBorder="1" applyAlignment="1" applyProtection="1">
      <alignment horizontal="center"/>
      <protection/>
    </xf>
    <xf numFmtId="0" fontId="88" fillId="34" borderId="160" xfId="60" applyFont="1" applyFill="1" applyBorder="1" applyAlignment="1" applyProtection="1">
      <alignment horizontal="center"/>
      <protection/>
    </xf>
    <xf numFmtId="0" fontId="8" fillId="34" borderId="113" xfId="60" applyFont="1" applyFill="1" applyBorder="1" applyProtection="1">
      <alignment/>
      <protection/>
    </xf>
    <xf numFmtId="0" fontId="91" fillId="34" borderId="114" xfId="60" applyFont="1" applyFill="1" applyBorder="1" applyAlignment="1" applyProtection="1">
      <alignment horizontal="left"/>
      <protection/>
    </xf>
    <xf numFmtId="0" fontId="8" fillId="34" borderId="114" xfId="60" applyFont="1" applyFill="1" applyBorder="1" applyProtection="1">
      <alignment/>
      <protection/>
    </xf>
    <xf numFmtId="0" fontId="8" fillId="34" borderId="115" xfId="60" applyFont="1" applyFill="1" applyBorder="1" applyProtection="1">
      <alignment/>
      <protection/>
    </xf>
    <xf numFmtId="0" fontId="14" fillId="34" borderId="87" xfId="0" applyFont="1" applyFill="1" applyBorder="1" applyAlignment="1">
      <alignment vertical="center"/>
    </xf>
    <xf numFmtId="0" fontId="14" fillId="34" borderId="0" xfId="0" applyFont="1" applyFill="1" applyAlignment="1">
      <alignment vertical="center"/>
    </xf>
    <xf numFmtId="174" fontId="69" fillId="0" borderId="13" xfId="0" applyNumberFormat="1" applyFont="1" applyFill="1" applyBorder="1" applyAlignment="1">
      <alignment horizontal="center" vertical="center"/>
    </xf>
    <xf numFmtId="0" fontId="8" fillId="35" borderId="153" xfId="0" applyFont="1" applyFill="1" applyBorder="1" applyAlignment="1">
      <alignment horizontal="center" vertical="center"/>
    </xf>
    <xf numFmtId="0" fontId="8" fillId="35" borderId="114" xfId="0" applyFont="1" applyFill="1" applyBorder="1" applyAlignment="1">
      <alignment horizontal="center" vertical="center"/>
    </xf>
    <xf numFmtId="0" fontId="88" fillId="34" borderId="114" xfId="0" applyFont="1" applyFill="1" applyBorder="1" applyAlignment="1">
      <alignment horizontal="center" vertical="center"/>
    </xf>
    <xf numFmtId="0" fontId="8" fillId="35" borderId="115" xfId="0" applyFont="1" applyFill="1" applyBorder="1" applyAlignment="1">
      <alignment horizontal="center" vertical="center"/>
    </xf>
    <xf numFmtId="0" fontId="8" fillId="34" borderId="161" xfId="0" applyFont="1" applyFill="1" applyBorder="1" applyAlignment="1">
      <alignment horizontal="center" vertical="center"/>
    </xf>
    <xf numFmtId="0" fontId="8" fillId="34" borderId="84" xfId="0" applyFont="1" applyFill="1" applyBorder="1" applyAlignment="1">
      <alignment horizontal="center" vertical="center"/>
    </xf>
    <xf numFmtId="0" fontId="88" fillId="34" borderId="84" xfId="0" applyFont="1" applyFill="1" applyBorder="1" applyAlignment="1">
      <alignment horizontal="center" vertical="center"/>
    </xf>
    <xf numFmtId="0" fontId="8" fillId="34" borderId="151" xfId="0" applyFont="1" applyFill="1" applyBorder="1" applyAlignment="1">
      <alignment horizontal="center" vertical="center"/>
    </xf>
    <xf numFmtId="0" fontId="88" fillId="35" borderId="114" xfId="0" applyFont="1" applyFill="1" applyBorder="1" applyAlignment="1">
      <alignment horizontal="center" vertical="center"/>
    </xf>
    <xf numFmtId="0" fontId="8" fillId="35" borderId="104" xfId="0" applyFont="1" applyFill="1" applyBorder="1" applyAlignment="1">
      <alignment horizontal="center" vertical="center"/>
    </xf>
    <xf numFmtId="0" fontId="88" fillId="35" borderId="55" xfId="0" applyFont="1" applyFill="1" applyBorder="1" applyAlignment="1">
      <alignment horizontal="center" vertical="center"/>
    </xf>
    <xf numFmtId="0" fontId="8" fillId="35" borderId="68" xfId="0" applyFont="1" applyFill="1" applyBorder="1" applyAlignment="1">
      <alignment horizontal="center" vertical="center"/>
    </xf>
    <xf numFmtId="0" fontId="88" fillId="35" borderId="58" xfId="0" applyFont="1" applyFill="1" applyBorder="1" applyAlignment="1">
      <alignment horizontal="center" vertical="center"/>
    </xf>
    <xf numFmtId="0" fontId="8" fillId="35" borderId="162" xfId="0" applyFont="1" applyFill="1" applyBorder="1" applyAlignment="1">
      <alignment horizontal="center" vertical="center"/>
    </xf>
    <xf numFmtId="0" fontId="88" fillId="35" borderId="96" xfId="0" applyFont="1" applyFill="1" applyBorder="1" applyAlignment="1">
      <alignment horizontal="center" vertical="center"/>
    </xf>
    <xf numFmtId="0" fontId="8" fillId="35" borderId="136" xfId="0" applyFont="1" applyFill="1" applyBorder="1" applyAlignment="1">
      <alignment horizontal="center" vertical="center"/>
    </xf>
    <xf numFmtId="0" fontId="8" fillId="35" borderId="161" xfId="0" applyFont="1" applyFill="1" applyBorder="1" applyAlignment="1">
      <alignment horizontal="center" vertical="center"/>
    </xf>
    <xf numFmtId="0" fontId="88" fillId="35" borderId="84" xfId="0" applyFont="1" applyFill="1" applyBorder="1" applyAlignment="1">
      <alignment horizontal="center" vertical="center"/>
    </xf>
    <xf numFmtId="0" fontId="8" fillId="35" borderId="69" xfId="0" applyFont="1" applyFill="1" applyBorder="1" applyAlignment="1">
      <alignment horizontal="center" vertical="center"/>
    </xf>
    <xf numFmtId="0" fontId="88" fillId="35" borderId="67" xfId="0" applyFont="1" applyFill="1" applyBorder="1" applyAlignment="1">
      <alignment horizontal="center" vertical="center"/>
    </xf>
    <xf numFmtId="0" fontId="8" fillId="34" borderId="78" xfId="0" applyFont="1" applyFill="1" applyBorder="1" applyAlignment="1">
      <alignment horizontal="center" vertical="center"/>
    </xf>
    <xf numFmtId="0" fontId="63" fillId="35" borderId="64" xfId="0" applyFont="1" applyFill="1" applyBorder="1" applyAlignment="1">
      <alignment horizontal="center" vertical="center"/>
    </xf>
    <xf numFmtId="0" fontId="63" fillId="35" borderId="65" xfId="0" applyFont="1" applyFill="1" applyBorder="1" applyAlignment="1">
      <alignment horizontal="center" vertical="center"/>
    </xf>
    <xf numFmtId="0" fontId="63" fillId="35" borderId="66" xfId="0" applyFont="1" applyFill="1" applyBorder="1" applyAlignment="1">
      <alignment horizontal="center" vertical="center"/>
    </xf>
    <xf numFmtId="0" fontId="63" fillId="34" borderId="163" xfId="0" applyFont="1" applyFill="1" applyBorder="1" applyAlignment="1">
      <alignment horizontal="center" vertical="center"/>
    </xf>
    <xf numFmtId="0" fontId="8" fillId="34" borderId="164" xfId="0" applyFont="1" applyFill="1" applyBorder="1" applyAlignment="1">
      <alignment horizontal="center" vertical="center"/>
    </xf>
    <xf numFmtId="0" fontId="8" fillId="34" borderId="165" xfId="0" applyFont="1" applyFill="1" applyBorder="1" applyAlignment="1">
      <alignment horizontal="center" vertical="center"/>
    </xf>
    <xf numFmtId="0" fontId="88" fillId="34" borderId="165" xfId="0" applyFont="1" applyFill="1" applyBorder="1" applyAlignment="1">
      <alignment horizontal="center" vertical="center"/>
    </xf>
    <xf numFmtId="0" fontId="8" fillId="34" borderId="166" xfId="0" applyFont="1" applyFill="1" applyBorder="1" applyAlignment="1">
      <alignment horizontal="center" vertical="center"/>
    </xf>
    <xf numFmtId="0" fontId="8" fillId="34" borderId="167" xfId="0" applyFont="1" applyFill="1" applyBorder="1" applyAlignment="1">
      <alignment horizontal="center" vertical="center"/>
    </xf>
    <xf numFmtId="0" fontId="8" fillId="34" borderId="168" xfId="0" applyFont="1" applyFill="1" applyBorder="1" applyAlignment="1">
      <alignment horizontal="center" vertical="center"/>
    </xf>
    <xf numFmtId="0" fontId="8" fillId="34" borderId="169" xfId="0" applyFont="1" applyFill="1" applyBorder="1" applyAlignment="1">
      <alignment horizontal="center" vertical="center"/>
    </xf>
    <xf numFmtId="0" fontId="8" fillId="34" borderId="170" xfId="0" applyFont="1" applyFill="1" applyBorder="1" applyAlignment="1">
      <alignment horizontal="center" vertical="center"/>
    </xf>
    <xf numFmtId="0" fontId="0" fillId="34" borderId="16" xfId="0" applyFont="1" applyFill="1" applyBorder="1" applyAlignment="1">
      <alignment horizontal="right" vertical="center"/>
    </xf>
    <xf numFmtId="170" fontId="0" fillId="0" borderId="23" xfId="0" applyNumberFormat="1" applyFont="1" applyFill="1" applyBorder="1" applyAlignment="1">
      <alignment horizontal="center" vertical="center"/>
    </xf>
    <xf numFmtId="0" fontId="0" fillId="0" borderId="87" xfId="0" applyFont="1" applyFill="1" applyBorder="1" applyAlignment="1">
      <alignment vertical="center"/>
    </xf>
    <xf numFmtId="10" fontId="6" fillId="0" borderId="0" xfId="0" applyNumberFormat="1" applyFont="1" applyFill="1" applyBorder="1" applyAlignment="1">
      <alignment/>
    </xf>
    <xf numFmtId="172" fontId="0" fillId="0" borderId="78" xfId="63" applyNumberFormat="1" applyFont="1" applyFill="1" applyBorder="1" applyAlignment="1">
      <alignment horizontal="center" vertical="center"/>
    </xf>
    <xf numFmtId="10" fontId="0" fillId="0" borderId="0" xfId="63" applyNumberFormat="1" applyFont="1" applyFill="1" applyBorder="1" applyAlignment="1">
      <alignment vertical="center"/>
    </xf>
    <xf numFmtId="9" fontId="0" fillId="0" borderId="0" xfId="63" applyFont="1" applyFill="1" applyBorder="1" applyAlignment="1">
      <alignment horizontal="center" vertical="center"/>
    </xf>
    <xf numFmtId="0" fontId="0" fillId="34" borderId="125" xfId="0" applyFont="1" applyFill="1" applyBorder="1" applyAlignment="1">
      <alignment horizontal="left" vertical="center"/>
    </xf>
    <xf numFmtId="0" fontId="0" fillId="34" borderId="119" xfId="0" applyFont="1" applyFill="1" applyBorder="1" applyAlignment="1">
      <alignment horizontal="center" vertical="center"/>
    </xf>
    <xf numFmtId="0" fontId="0" fillId="34" borderId="152" xfId="0" applyFont="1" applyFill="1" applyBorder="1" applyAlignment="1">
      <alignment horizontal="center" vertical="center"/>
    </xf>
    <xf numFmtId="0" fontId="8" fillId="34" borderId="70" xfId="0" applyFont="1" applyFill="1" applyBorder="1" applyAlignment="1" applyProtection="1">
      <alignment horizontal="center" vertical="center"/>
      <protection locked="0"/>
    </xf>
    <xf numFmtId="0" fontId="8" fillId="34" borderId="71" xfId="0" applyFont="1" applyFill="1" applyBorder="1" applyAlignment="1" applyProtection="1">
      <alignment horizontal="center" vertical="center"/>
      <protection locked="0"/>
    </xf>
    <xf numFmtId="0" fontId="8" fillId="34" borderId="72" xfId="0" applyFont="1" applyFill="1" applyBorder="1" applyAlignment="1" applyProtection="1">
      <alignment horizontal="center" vertical="center"/>
      <protection locked="0"/>
    </xf>
    <xf numFmtId="0" fontId="0" fillId="34" borderId="97" xfId="0" applyFont="1" applyFill="1" applyBorder="1" applyAlignment="1">
      <alignment horizontal="center" vertical="center"/>
    </xf>
    <xf numFmtId="173" fontId="8" fillId="34" borderId="162" xfId="0" applyNumberFormat="1" applyFont="1" applyFill="1" applyBorder="1" applyAlignment="1">
      <alignment horizontal="center" vertical="center"/>
    </xf>
    <xf numFmtId="173" fontId="8" fillId="34" borderId="96" xfId="0" applyNumberFormat="1" applyFont="1" applyFill="1" applyBorder="1" applyAlignment="1">
      <alignment horizontal="center" vertical="center"/>
    </xf>
    <xf numFmtId="173" fontId="8" fillId="34" borderId="136" xfId="0" applyNumberFormat="1" applyFont="1" applyFill="1" applyBorder="1" applyAlignment="1">
      <alignment horizontal="center" vertical="center"/>
    </xf>
    <xf numFmtId="0" fontId="0" fillId="34" borderId="125" xfId="0" applyFont="1" applyFill="1" applyBorder="1" applyAlignment="1">
      <alignment vertical="center"/>
    </xf>
    <xf numFmtId="0" fontId="16" fillId="34" borderId="0" xfId="60" applyFont="1" applyFill="1" applyBorder="1" applyProtection="1">
      <alignment/>
      <protection/>
    </xf>
    <xf numFmtId="0" fontId="70" fillId="34" borderId="0" xfId="60" applyFont="1" applyFill="1" applyBorder="1" applyProtection="1">
      <alignment/>
      <protection/>
    </xf>
    <xf numFmtId="0" fontId="70" fillId="34" borderId="0" xfId="0" applyFont="1" applyFill="1" applyAlignment="1">
      <alignment horizontal="left"/>
    </xf>
    <xf numFmtId="0" fontId="70" fillId="34" borderId="0" xfId="0" applyFont="1" applyFill="1" applyAlignment="1">
      <alignment horizontal="center"/>
    </xf>
    <xf numFmtId="0" fontId="70" fillId="34" borderId="0" xfId="0" applyFont="1" applyFill="1" applyAlignment="1">
      <alignment vertical="center"/>
    </xf>
    <xf numFmtId="0" fontId="6" fillId="34" borderId="0" xfId="0" applyFont="1" applyFill="1" applyAlignment="1">
      <alignment vertical="center"/>
    </xf>
    <xf numFmtId="0" fontId="93" fillId="34" borderId="0" xfId="0" applyFont="1" applyFill="1" applyAlignment="1">
      <alignment vertical="center"/>
    </xf>
    <xf numFmtId="2" fontId="8" fillId="34" borderId="98" xfId="0" applyNumberFormat="1" applyFont="1" applyFill="1" applyBorder="1" applyAlignment="1" applyProtection="1">
      <alignment horizontal="center" vertical="center"/>
      <protection locked="0"/>
    </xf>
    <xf numFmtId="2" fontId="8" fillId="34" borderId="99" xfId="0" applyNumberFormat="1" applyFont="1" applyFill="1" applyBorder="1" applyAlignment="1" applyProtection="1">
      <alignment horizontal="center" vertical="center"/>
      <protection locked="0"/>
    </xf>
    <xf numFmtId="2" fontId="8" fillId="34" borderId="129" xfId="0" applyNumberFormat="1" applyFont="1" applyFill="1" applyBorder="1" applyAlignment="1" applyProtection="1">
      <alignment horizontal="center" vertical="center"/>
      <protection locked="0"/>
    </xf>
    <xf numFmtId="165" fontId="8" fillId="34" borderId="54" xfId="0" applyNumberFormat="1" applyFont="1" applyFill="1" applyBorder="1" applyAlignment="1">
      <alignment horizontal="center" vertical="center"/>
    </xf>
    <xf numFmtId="165" fontId="8" fillId="34" borderId="55" xfId="0" applyNumberFormat="1" applyFont="1" applyFill="1" applyBorder="1" applyAlignment="1">
      <alignment horizontal="center" vertical="center"/>
    </xf>
    <xf numFmtId="165" fontId="8" fillId="34" borderId="56" xfId="0" applyNumberFormat="1" applyFont="1" applyFill="1" applyBorder="1" applyAlignment="1">
      <alignment horizontal="center" vertical="center"/>
    </xf>
    <xf numFmtId="165" fontId="8" fillId="34" borderId="57" xfId="0" applyNumberFormat="1" applyFont="1" applyFill="1" applyBorder="1" applyAlignment="1">
      <alignment horizontal="center" vertical="center"/>
    </xf>
    <xf numFmtId="165" fontId="8" fillId="34" borderId="58" xfId="0" applyNumberFormat="1" applyFont="1" applyFill="1" applyBorder="1" applyAlignment="1">
      <alignment horizontal="center" vertical="center"/>
    </xf>
    <xf numFmtId="165" fontId="8" fillId="34" borderId="59" xfId="0" applyNumberFormat="1" applyFont="1" applyFill="1" applyBorder="1" applyAlignment="1">
      <alignment horizontal="center" vertical="center"/>
    </xf>
    <xf numFmtId="0" fontId="0" fillId="34" borderId="90" xfId="0" applyFont="1" applyFill="1" applyBorder="1" applyAlignment="1">
      <alignment horizontal="left" vertical="center"/>
    </xf>
    <xf numFmtId="0" fontId="0" fillId="34" borderId="171" xfId="0" applyFont="1" applyFill="1" applyBorder="1" applyAlignment="1">
      <alignment vertical="center"/>
    </xf>
    <xf numFmtId="165" fontId="8" fillId="34" borderId="92" xfId="0" applyNumberFormat="1" applyFont="1" applyFill="1" applyBorder="1" applyAlignment="1">
      <alignment horizontal="center" vertical="center"/>
    </xf>
    <xf numFmtId="165" fontId="8" fillId="34" borderId="84" xfId="0" applyNumberFormat="1" applyFont="1" applyFill="1" applyBorder="1" applyAlignment="1">
      <alignment horizontal="center" vertical="center"/>
    </xf>
    <xf numFmtId="165" fontId="8" fillId="34" borderId="151" xfId="0" applyNumberFormat="1" applyFont="1" applyFill="1" applyBorder="1" applyAlignment="1">
      <alignment horizontal="center" vertical="center"/>
    </xf>
    <xf numFmtId="165" fontId="8" fillId="34" borderId="172" xfId="0" applyNumberFormat="1" applyFont="1" applyFill="1" applyBorder="1" applyAlignment="1">
      <alignment horizontal="center" vertical="center"/>
    </xf>
    <xf numFmtId="165" fontId="8" fillId="34" borderId="132" xfId="0" applyNumberFormat="1" applyFont="1" applyFill="1" applyBorder="1" applyAlignment="1">
      <alignment horizontal="center" vertical="center"/>
    </xf>
    <xf numFmtId="165" fontId="8" fillId="34" borderId="133" xfId="0" applyNumberFormat="1" applyFont="1" applyFill="1" applyBorder="1" applyAlignment="1">
      <alignment horizontal="center" vertical="center"/>
    </xf>
    <xf numFmtId="165" fontId="8" fillId="34" borderId="98" xfId="0" applyNumberFormat="1" applyFont="1" applyFill="1" applyBorder="1" applyAlignment="1">
      <alignment horizontal="center" vertical="center"/>
    </xf>
    <xf numFmtId="165" fontId="8" fillId="34" borderId="99" xfId="0" applyNumberFormat="1" applyFont="1" applyFill="1" applyBorder="1" applyAlignment="1">
      <alignment horizontal="center" vertical="center"/>
    </xf>
    <xf numFmtId="165" fontId="8" fillId="34" borderId="129" xfId="0" applyNumberFormat="1" applyFont="1" applyFill="1" applyBorder="1" applyAlignment="1">
      <alignment horizontal="center" vertical="center"/>
    </xf>
    <xf numFmtId="0" fontId="14" fillId="34" borderId="85" xfId="0" applyFont="1" applyFill="1" applyBorder="1" applyAlignment="1">
      <alignment vertical="center"/>
    </xf>
    <xf numFmtId="165" fontId="0" fillId="34" borderId="86" xfId="0" applyNumberFormat="1" applyFont="1" applyFill="1" applyBorder="1" applyAlignment="1">
      <alignment vertical="center"/>
    </xf>
    <xf numFmtId="0" fontId="0" fillId="34" borderId="86" xfId="0" applyFont="1" applyFill="1" applyBorder="1" applyAlignment="1">
      <alignment horizontal="right" vertical="center"/>
    </xf>
    <xf numFmtId="165" fontId="9" fillId="34" borderId="86" xfId="63" applyNumberFormat="1" applyFont="1" applyFill="1" applyBorder="1" applyAlignment="1">
      <alignment horizontal="right" vertical="center"/>
    </xf>
    <xf numFmtId="165" fontId="9" fillId="34" borderId="90" xfId="0" applyNumberFormat="1" applyFont="1" applyFill="1" applyBorder="1" applyAlignment="1">
      <alignment horizontal="right" vertical="center"/>
    </xf>
    <xf numFmtId="165" fontId="9" fillId="34" borderId="86" xfId="0" applyNumberFormat="1" applyFont="1" applyFill="1" applyBorder="1" applyAlignment="1">
      <alignment horizontal="right" vertical="center"/>
    </xf>
    <xf numFmtId="175" fontId="8" fillId="34" borderId="54" xfId="0" applyNumberFormat="1" applyFont="1" applyFill="1" applyBorder="1" applyAlignment="1">
      <alignment horizontal="center" vertical="center"/>
    </xf>
    <xf numFmtId="175" fontId="8" fillId="34" borderId="55" xfId="0" applyNumberFormat="1" applyFont="1" applyFill="1" applyBorder="1" applyAlignment="1">
      <alignment horizontal="center" vertical="center"/>
    </xf>
    <xf numFmtId="175" fontId="8" fillId="34" borderId="56" xfId="0" applyNumberFormat="1" applyFont="1" applyFill="1" applyBorder="1" applyAlignment="1">
      <alignment horizontal="center" vertical="center"/>
    </xf>
    <xf numFmtId="0" fontId="16" fillId="34" borderId="86" xfId="0" applyFont="1" applyFill="1" applyBorder="1" applyAlignment="1">
      <alignment horizontal="center" vertical="center"/>
    </xf>
    <xf numFmtId="0" fontId="16" fillId="34" borderId="81" xfId="0" applyFont="1" applyFill="1" applyBorder="1" applyAlignment="1">
      <alignment horizontal="center" vertical="center"/>
    </xf>
    <xf numFmtId="0" fontId="16" fillId="34" borderId="90" xfId="0" applyFont="1" applyFill="1" applyBorder="1" applyAlignment="1">
      <alignment horizontal="center" vertical="center"/>
    </xf>
    <xf numFmtId="168" fontId="8" fillId="34" borderId="173" xfId="0" applyNumberFormat="1" applyFont="1" applyFill="1" applyBorder="1" applyAlignment="1">
      <alignment horizontal="center" vertical="center"/>
    </xf>
    <xf numFmtId="168" fontId="8" fillId="34" borderId="142" xfId="0" applyNumberFormat="1" applyFont="1" applyFill="1" applyBorder="1" applyAlignment="1">
      <alignment horizontal="center" vertical="center"/>
    </xf>
    <xf numFmtId="168" fontId="88" fillId="34" borderId="142" xfId="0" applyNumberFormat="1" applyFont="1" applyFill="1" applyBorder="1" applyAlignment="1">
      <alignment horizontal="center" vertical="center"/>
    </xf>
    <xf numFmtId="168" fontId="8" fillId="34" borderId="143" xfId="0" applyNumberFormat="1" applyFont="1" applyFill="1" applyBorder="1" applyAlignment="1">
      <alignment horizontal="center" vertical="center"/>
    </xf>
    <xf numFmtId="168" fontId="8" fillId="34" borderId="134" xfId="0" applyNumberFormat="1" applyFont="1" applyFill="1" applyBorder="1" applyAlignment="1">
      <alignment horizontal="center" vertical="center"/>
    </xf>
    <xf numFmtId="168" fontId="8" fillId="34" borderId="58" xfId="0" applyNumberFormat="1" applyFont="1" applyFill="1" applyBorder="1" applyAlignment="1">
      <alignment horizontal="center" vertical="center"/>
    </xf>
    <xf numFmtId="168" fontId="88" fillId="34" borderId="58" xfId="0" applyNumberFormat="1" applyFont="1" applyFill="1" applyBorder="1" applyAlignment="1">
      <alignment horizontal="center" vertical="center"/>
    </xf>
    <xf numFmtId="168" fontId="8" fillId="34" borderId="59" xfId="0" applyNumberFormat="1" applyFont="1" applyFill="1" applyBorder="1" applyAlignment="1">
      <alignment horizontal="center" vertical="center"/>
    </xf>
    <xf numFmtId="168" fontId="8" fillId="34" borderId="174" xfId="0" applyNumberFormat="1" applyFont="1" applyFill="1" applyBorder="1" applyAlignment="1">
      <alignment horizontal="center" vertical="center"/>
    </xf>
    <xf numFmtId="168" fontId="8" fillId="34" borderId="67" xfId="0" applyNumberFormat="1" applyFont="1" applyFill="1" applyBorder="1" applyAlignment="1">
      <alignment horizontal="center" vertical="center"/>
    </xf>
    <xf numFmtId="168" fontId="88" fillId="34" borderId="67" xfId="0" applyNumberFormat="1" applyFont="1" applyFill="1" applyBorder="1" applyAlignment="1">
      <alignment horizontal="center" vertical="center"/>
    </xf>
    <xf numFmtId="168" fontId="8" fillId="34" borderId="60" xfId="0" applyNumberFormat="1" applyFont="1" applyFill="1" applyBorder="1" applyAlignment="1">
      <alignment horizontal="center" vertical="center"/>
    </xf>
    <xf numFmtId="168" fontId="8" fillId="34" borderId="175" xfId="0" applyNumberFormat="1" applyFont="1" applyFill="1" applyBorder="1" applyAlignment="1">
      <alignment horizontal="center" vertical="center"/>
    </xf>
    <xf numFmtId="168" fontId="8" fillId="34" borderId="115" xfId="0" applyNumberFormat="1" applyFont="1" applyFill="1" applyBorder="1" applyAlignment="1">
      <alignment horizontal="center" vertical="center"/>
    </xf>
    <xf numFmtId="0" fontId="69" fillId="34" borderId="0" xfId="0" applyFont="1" applyFill="1" applyBorder="1" applyAlignment="1">
      <alignment vertical="center"/>
    </xf>
    <xf numFmtId="0" fontId="69" fillId="34" borderId="16" xfId="0" applyFont="1" applyFill="1" applyBorder="1" applyAlignment="1">
      <alignment horizontal="left" vertical="center"/>
    </xf>
    <xf numFmtId="168" fontId="8" fillId="34" borderId="153" xfId="0" applyNumberFormat="1" applyFont="1" applyFill="1" applyBorder="1" applyAlignment="1">
      <alignment horizontal="center" vertical="center"/>
    </xf>
    <xf numFmtId="0" fontId="78" fillId="34" borderId="170" xfId="0" applyFont="1" applyFill="1" applyBorder="1" applyAlignment="1">
      <alignment vertical="center"/>
    </xf>
    <xf numFmtId="0" fontId="78" fillId="34" borderId="34" xfId="0" applyFont="1" applyFill="1" applyBorder="1" applyAlignment="1">
      <alignment vertical="center"/>
    </xf>
    <xf numFmtId="0" fontId="78" fillId="34" borderId="176" xfId="0" applyFont="1" applyFill="1" applyBorder="1" applyAlignment="1">
      <alignment horizontal="center" vertical="center"/>
    </xf>
    <xf numFmtId="0" fontId="78" fillId="34" borderId="177" xfId="0" applyFont="1" applyFill="1" applyBorder="1" applyAlignment="1">
      <alignment horizontal="center" vertical="center"/>
    </xf>
    <xf numFmtId="0" fontId="78" fillId="34" borderId="178" xfId="0" applyFont="1" applyFill="1" applyBorder="1" applyAlignment="1">
      <alignment horizontal="center" vertical="center"/>
    </xf>
    <xf numFmtId="0" fontId="78" fillId="34" borderId="34" xfId="0" applyFont="1" applyFill="1" applyBorder="1" applyAlignment="1">
      <alignment horizontal="center" vertical="center"/>
    </xf>
    <xf numFmtId="0" fontId="78" fillId="34" borderId="179" xfId="0" applyFont="1" applyFill="1" applyBorder="1" applyAlignment="1">
      <alignment horizontal="center" vertical="center"/>
    </xf>
    <xf numFmtId="0" fontId="78" fillId="34" borderId="180" xfId="0" applyFont="1" applyFill="1" applyBorder="1" applyAlignment="1">
      <alignment horizontal="center" vertical="center"/>
    </xf>
    <xf numFmtId="0" fontId="78" fillId="34" borderId="181" xfId="0" applyFont="1" applyFill="1" applyBorder="1" applyAlignment="1">
      <alignment horizontal="center" vertical="center"/>
    </xf>
    <xf numFmtId="14" fontId="78" fillId="34" borderId="116" xfId="0" applyNumberFormat="1" applyFont="1" applyFill="1" applyBorder="1" applyAlignment="1">
      <alignment horizontal="center" vertical="center"/>
    </xf>
    <xf numFmtId="14" fontId="78" fillId="34" borderId="111" xfId="0" applyNumberFormat="1" applyFont="1" applyFill="1" applyBorder="1" applyAlignment="1">
      <alignment horizontal="center" vertical="center"/>
    </xf>
    <xf numFmtId="14" fontId="78" fillId="34" borderId="182" xfId="0" applyNumberFormat="1" applyFont="1" applyFill="1" applyBorder="1" applyAlignment="1">
      <alignment horizontal="center" vertical="center"/>
    </xf>
    <xf numFmtId="14" fontId="78" fillId="34" borderId="181" xfId="0" applyNumberFormat="1" applyFont="1" applyFill="1" applyBorder="1" applyAlignment="1">
      <alignment horizontal="center" vertical="center"/>
    </xf>
    <xf numFmtId="14" fontId="78" fillId="34" borderId="183" xfId="0" applyNumberFormat="1" applyFont="1" applyFill="1" applyBorder="1" applyAlignment="1">
      <alignment horizontal="center" vertical="center"/>
    </xf>
    <xf numFmtId="0" fontId="9" fillId="0" borderId="81" xfId="0" applyFont="1" applyFill="1" applyBorder="1" applyAlignment="1">
      <alignment horizontal="left" vertical="center"/>
    </xf>
    <xf numFmtId="0" fontId="35" fillId="0" borderId="81" xfId="0" applyFont="1" applyFill="1" applyBorder="1" applyAlignment="1">
      <alignment vertical="center"/>
    </xf>
    <xf numFmtId="0" fontId="0" fillId="0" borderId="81" xfId="0" applyFont="1" applyFill="1" applyBorder="1" applyAlignment="1">
      <alignment vertical="center"/>
    </xf>
    <xf numFmtId="0" fontId="0" fillId="0" borderId="68" xfId="0" applyFont="1" applyFill="1" applyBorder="1" applyAlignment="1">
      <alignment vertical="center"/>
    </xf>
    <xf numFmtId="49" fontId="35" fillId="0" borderId="81" xfId="0" applyNumberFormat="1" applyFont="1" applyFill="1" applyBorder="1" applyAlignment="1">
      <alignment horizontal="left" vertical="center"/>
    </xf>
    <xf numFmtId="0" fontId="9" fillId="0" borderId="111" xfId="0" applyFont="1" applyFill="1" applyBorder="1" applyAlignment="1">
      <alignment horizontal="left" vertical="center"/>
    </xf>
    <xf numFmtId="0" fontId="8" fillId="35" borderId="158" xfId="0" applyFont="1" applyFill="1" applyBorder="1" applyAlignment="1">
      <alignment horizontal="center" vertical="center"/>
    </xf>
    <xf numFmtId="0" fontId="8" fillId="35" borderId="159" xfId="0" applyFont="1" applyFill="1" applyBorder="1" applyAlignment="1">
      <alignment horizontal="center" vertical="center"/>
    </xf>
    <xf numFmtId="0" fontId="8" fillId="35" borderId="123" xfId="0" applyFont="1" applyFill="1" applyBorder="1" applyAlignment="1">
      <alignment horizontal="center" vertical="center"/>
    </xf>
    <xf numFmtId="0" fontId="0" fillId="34" borderId="122" xfId="0" applyFont="1" applyFill="1" applyBorder="1" applyAlignment="1">
      <alignment vertical="center"/>
    </xf>
    <xf numFmtId="0" fontId="0" fillId="34" borderId="184" xfId="0" applyFont="1" applyFill="1" applyBorder="1" applyAlignment="1">
      <alignment vertical="center"/>
    </xf>
    <xf numFmtId="0" fontId="8" fillId="35" borderId="160" xfId="0" applyFont="1" applyFill="1" applyBorder="1" applyAlignment="1">
      <alignment horizontal="center" vertical="center"/>
    </xf>
    <xf numFmtId="0" fontId="8" fillId="34" borderId="93" xfId="0" applyFont="1" applyFill="1" applyBorder="1" applyAlignment="1">
      <alignment horizontal="center" vertical="center"/>
    </xf>
    <xf numFmtId="173" fontId="8" fillId="34" borderId="67" xfId="0" applyNumberFormat="1" applyFont="1" applyFill="1" applyBorder="1" applyAlignment="1">
      <alignment horizontal="center" vertical="center"/>
    </xf>
    <xf numFmtId="0" fontId="9" fillId="34" borderId="89" xfId="0" applyFont="1" applyFill="1" applyBorder="1" applyAlignment="1">
      <alignment horizontal="center" vertical="center"/>
    </xf>
    <xf numFmtId="0" fontId="9" fillId="0" borderId="111" xfId="60" applyFont="1" applyFill="1" applyBorder="1" applyAlignment="1" applyProtection="1">
      <alignment horizontal="left" vertical="center"/>
      <protection/>
    </xf>
    <xf numFmtId="0" fontId="7" fillId="0" borderId="81" xfId="60" applyFont="1" applyFill="1" applyBorder="1" applyAlignment="1" applyProtection="1">
      <alignment vertical="center"/>
      <protection/>
    </xf>
    <xf numFmtId="0" fontId="7" fillId="0" borderId="68" xfId="60" applyFont="1" applyFill="1" applyBorder="1" applyAlignment="1" applyProtection="1">
      <alignment vertical="center"/>
      <protection/>
    </xf>
    <xf numFmtId="0" fontId="0" fillId="0" borderId="81" xfId="60" applyFont="1" applyFill="1" applyBorder="1" applyAlignment="1" applyProtection="1">
      <alignment vertical="center"/>
      <protection/>
    </xf>
    <xf numFmtId="0" fontId="0" fillId="0" borderId="68" xfId="60" applyFont="1" applyFill="1" applyBorder="1" applyAlignment="1" applyProtection="1">
      <alignment vertical="center"/>
      <protection/>
    </xf>
    <xf numFmtId="0" fontId="9" fillId="0" borderId="112" xfId="60" applyFont="1" applyFill="1" applyBorder="1" applyAlignment="1" applyProtection="1">
      <alignment horizontal="left" vertical="center"/>
      <protection/>
    </xf>
    <xf numFmtId="0" fontId="0" fillId="0" borderId="82" xfId="60" applyFont="1" applyFill="1" applyBorder="1" applyAlignment="1" applyProtection="1">
      <alignment vertical="center"/>
      <protection/>
    </xf>
    <xf numFmtId="0" fontId="0" fillId="0" borderId="83" xfId="60" applyFont="1" applyFill="1" applyBorder="1" applyAlignment="1" applyProtection="1">
      <alignment vertical="center"/>
      <protection/>
    </xf>
    <xf numFmtId="11" fontId="100" fillId="0" borderId="33" xfId="0" applyNumberFormat="1" applyFont="1" applyFill="1" applyBorder="1" applyAlignment="1">
      <alignment/>
    </xf>
    <xf numFmtId="0" fontId="6" fillId="34" borderId="0" xfId="0" applyFont="1" applyFill="1" applyBorder="1" applyAlignment="1">
      <alignment horizontal="left" vertical="center"/>
    </xf>
    <xf numFmtId="0" fontId="6" fillId="34" borderId="0" xfId="0" applyFont="1" applyFill="1" applyBorder="1" applyAlignment="1">
      <alignment vertical="center"/>
    </xf>
    <xf numFmtId="0" fontId="0" fillId="34" borderId="152" xfId="0" applyFont="1" applyFill="1" applyBorder="1" applyAlignment="1">
      <alignment vertical="center"/>
    </xf>
    <xf numFmtId="0" fontId="8" fillId="34" borderId="70" xfId="0" applyFont="1" applyFill="1" applyBorder="1" applyAlignment="1">
      <alignment horizontal="center" vertical="center"/>
    </xf>
    <xf numFmtId="0" fontId="8" fillId="34" borderId="71" xfId="0" applyFont="1" applyFill="1" applyBorder="1" applyAlignment="1">
      <alignment horizontal="center" vertical="center"/>
    </xf>
    <xf numFmtId="0" fontId="8" fillId="34" borderId="72" xfId="0" applyFont="1" applyFill="1" applyBorder="1" applyAlignment="1">
      <alignment horizontal="center" vertical="center"/>
    </xf>
    <xf numFmtId="0" fontId="0" fillId="34" borderId="185" xfId="0" applyFont="1" applyFill="1" applyBorder="1" applyAlignment="1">
      <alignment horizontal="left" vertical="center"/>
    </xf>
    <xf numFmtId="0" fontId="0" fillId="34" borderId="186" xfId="0" applyFont="1" applyFill="1" applyBorder="1" applyAlignment="1">
      <alignment horizontal="center" vertical="center"/>
    </xf>
    <xf numFmtId="0" fontId="0" fillId="34" borderId="187" xfId="0" applyFont="1" applyFill="1" applyBorder="1" applyAlignment="1">
      <alignment horizontal="center" vertical="center"/>
    </xf>
    <xf numFmtId="0" fontId="8" fillId="0" borderId="188" xfId="0" applyFont="1" applyFill="1" applyBorder="1" applyAlignment="1" applyProtection="1">
      <alignment horizontal="center" vertical="center"/>
      <protection locked="0"/>
    </xf>
    <xf numFmtId="0" fontId="8" fillId="0" borderId="189" xfId="0" applyFont="1" applyFill="1" applyBorder="1" applyAlignment="1" applyProtection="1">
      <alignment horizontal="center" vertical="center"/>
      <protection locked="0"/>
    </xf>
    <xf numFmtId="0" fontId="8" fillId="0" borderId="190" xfId="0" applyFont="1" applyFill="1" applyBorder="1" applyAlignment="1" applyProtection="1">
      <alignment horizontal="center" vertical="center"/>
      <protection locked="0"/>
    </xf>
    <xf numFmtId="0" fontId="0" fillId="34" borderId="125" xfId="0" applyNumberFormat="1" applyFont="1" applyFill="1" applyBorder="1" applyAlignment="1">
      <alignment horizontal="left" vertical="center"/>
    </xf>
    <xf numFmtId="0" fontId="0" fillId="34" borderId="119" xfId="0" applyNumberFormat="1" applyFont="1" applyFill="1" applyBorder="1" applyAlignment="1">
      <alignment horizontal="center" vertical="center"/>
    </xf>
    <xf numFmtId="0" fontId="0" fillId="34" borderId="152" xfId="0" applyNumberFormat="1" applyFont="1" applyFill="1" applyBorder="1" applyAlignment="1">
      <alignment horizontal="center" vertical="center"/>
    </xf>
    <xf numFmtId="2" fontId="8" fillId="34" borderId="139" xfId="0" applyNumberFormat="1" applyFont="1" applyFill="1" applyBorder="1" applyAlignment="1" applyProtection="1">
      <alignment horizontal="center" vertical="center"/>
      <protection locked="0"/>
    </xf>
    <xf numFmtId="2" fontId="8" fillId="34" borderId="71" xfId="0" applyNumberFormat="1" applyFont="1" applyFill="1" applyBorder="1" applyAlignment="1" applyProtection="1">
      <alignment horizontal="center" vertical="center"/>
      <protection locked="0"/>
    </xf>
    <xf numFmtId="2" fontId="8" fillId="34" borderId="72" xfId="0" applyNumberFormat="1" applyFont="1" applyFill="1" applyBorder="1" applyAlignment="1" applyProtection="1">
      <alignment horizontal="center" vertical="center"/>
      <protection locked="0"/>
    </xf>
    <xf numFmtId="173" fontId="8" fillId="0" borderId="124" xfId="0" applyNumberFormat="1" applyFont="1" applyFill="1" applyBorder="1" applyAlignment="1" applyProtection="1">
      <alignment horizontal="center" vertical="center"/>
      <protection locked="0"/>
    </xf>
    <xf numFmtId="173" fontId="8" fillId="0" borderId="189" xfId="0" applyNumberFormat="1" applyFont="1" applyFill="1" applyBorder="1" applyAlignment="1" applyProtection="1">
      <alignment horizontal="center" vertical="center"/>
      <protection locked="0"/>
    </xf>
    <xf numFmtId="173" fontId="8" fillId="0" borderId="190" xfId="0" applyNumberFormat="1" applyFont="1" applyFill="1" applyBorder="1" applyAlignment="1" applyProtection="1">
      <alignment horizontal="center" vertical="center"/>
      <protection locked="0"/>
    </xf>
    <xf numFmtId="0" fontId="88" fillId="0" borderId="114" xfId="0" applyFont="1" applyFill="1" applyBorder="1" applyAlignment="1">
      <alignment horizontal="center" vertical="center"/>
    </xf>
    <xf numFmtId="0" fontId="0" fillId="0" borderId="58" xfId="59" applyNumberFormat="1" applyFont="1" applyFill="1" applyBorder="1" applyAlignment="1" applyProtection="1">
      <alignment horizontal="center"/>
      <protection locked="0"/>
    </xf>
    <xf numFmtId="0" fontId="0" fillId="0" borderId="68" xfId="59" applyNumberFormat="1" applyFont="1" applyFill="1" applyBorder="1" applyAlignment="1" applyProtection="1">
      <alignment horizontal="center"/>
      <protection locked="0"/>
    </xf>
    <xf numFmtId="0" fontId="86" fillId="38" borderId="191" xfId="57" applyFont="1" applyFill="1" applyBorder="1" applyAlignment="1">
      <alignment horizontal="center" vertical="center"/>
      <protection/>
    </xf>
    <xf numFmtId="0" fontId="87" fillId="38" borderId="48" xfId="57" applyFont="1" applyFill="1" applyBorder="1" applyAlignment="1">
      <alignment horizontal="center" vertical="center"/>
      <protection/>
    </xf>
    <xf numFmtId="0" fontId="87" fillId="38" borderId="192" xfId="57" applyFont="1" applyFill="1" applyBorder="1" applyAlignment="1">
      <alignment horizontal="center" vertical="center"/>
      <protection/>
    </xf>
    <xf numFmtId="0" fontId="1" fillId="38" borderId="193" xfId="57" applyFont="1" applyFill="1" applyBorder="1" applyAlignment="1">
      <alignment horizontal="center"/>
      <protection/>
    </xf>
    <xf numFmtId="0" fontId="1" fillId="38" borderId="194" xfId="57" applyFont="1" applyFill="1" applyBorder="1" applyAlignment="1">
      <alignment horizontal="center"/>
      <protection/>
    </xf>
    <xf numFmtId="0" fontId="1" fillId="38" borderId="195" xfId="57" applyFont="1" applyFill="1" applyBorder="1" applyAlignment="1">
      <alignment horizontal="center"/>
      <protection/>
    </xf>
    <xf numFmtId="0" fontId="7" fillId="34" borderId="185" xfId="59" applyFont="1" applyFill="1" applyBorder="1" applyAlignment="1" applyProtection="1">
      <alignment horizontal="center"/>
      <protection locked="0"/>
    </xf>
    <xf numFmtId="0" fontId="7" fillId="34" borderId="186" xfId="59" applyFont="1" applyFill="1" applyBorder="1" applyAlignment="1" applyProtection="1">
      <alignment horizontal="center"/>
      <protection locked="0"/>
    </xf>
    <xf numFmtId="0" fontId="7" fillId="34" borderId="187" xfId="59" applyFont="1" applyFill="1" applyBorder="1" applyAlignment="1" applyProtection="1">
      <alignment horizontal="center"/>
      <protection locked="0"/>
    </xf>
    <xf numFmtId="0" fontId="7" fillId="34" borderId="26" xfId="59" applyFont="1" applyFill="1" applyBorder="1" applyAlignment="1" applyProtection="1">
      <alignment horizontal="center"/>
      <protection locked="0"/>
    </xf>
    <xf numFmtId="0" fontId="7" fillId="34" borderId="27" xfId="59" applyFont="1" applyFill="1" applyBorder="1" applyAlignment="1" applyProtection="1">
      <alignment horizontal="center"/>
      <protection locked="0"/>
    </xf>
    <xf numFmtId="0" fontId="69" fillId="34" borderId="26" xfId="60" applyFont="1" applyFill="1" applyBorder="1" applyAlignment="1" applyProtection="1">
      <alignment horizontal="center"/>
      <protection/>
    </xf>
    <xf numFmtId="0" fontId="69" fillId="34" borderId="27" xfId="60" applyFont="1" applyFill="1" applyBorder="1" applyAlignment="1" applyProtection="1">
      <alignment horizontal="center"/>
      <protection/>
    </xf>
    <xf numFmtId="175" fontId="9" fillId="34" borderId="0" xfId="63" applyNumberFormat="1" applyFont="1" applyFill="1" applyBorder="1" applyAlignment="1">
      <alignment horizontal="center" vertical="center"/>
    </xf>
    <xf numFmtId="0" fontId="7" fillId="0" borderId="23" xfId="0" applyFont="1" applyFill="1" applyBorder="1" applyAlignment="1">
      <alignment horizontal="center" vertical="center"/>
    </xf>
    <xf numFmtId="10" fontId="0" fillId="34" borderId="118" xfId="0" applyNumberFormat="1" applyFont="1" applyFill="1" applyBorder="1" applyAlignment="1">
      <alignment horizontal="left" vertical="center"/>
    </xf>
    <xf numFmtId="11" fontId="0" fillId="34" borderId="10" xfId="0" applyNumberFormat="1" applyFont="1" applyFill="1" applyBorder="1" applyAlignment="1">
      <alignment horizontal="center" vertical="center" wrapText="1"/>
    </xf>
    <xf numFmtId="11" fontId="0" fillId="34" borderId="196" xfId="0" applyNumberFormat="1" applyFont="1" applyFill="1" applyBorder="1" applyAlignment="1">
      <alignment horizontal="center" vertical="center" wrapText="1"/>
    </xf>
    <xf numFmtId="11" fontId="0" fillId="34" borderId="42" xfId="0" applyNumberFormat="1" applyFont="1" applyFill="1" applyBorder="1" applyAlignment="1">
      <alignment horizontal="center" vertical="center" wrapText="1"/>
    </xf>
    <xf numFmtId="11" fontId="0" fillId="34" borderId="197" xfId="0" applyNumberFormat="1" applyFont="1" applyFill="1" applyBorder="1" applyAlignment="1">
      <alignment horizontal="center" vertical="center" wrapText="1"/>
    </xf>
    <xf numFmtId="0" fontId="0" fillId="34" borderId="121" xfId="0" applyFont="1" applyFill="1" applyBorder="1" applyAlignment="1">
      <alignment horizontal="center" vertical="center"/>
    </xf>
    <xf numFmtId="0" fontId="0" fillId="34" borderId="198"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99" xfId="0" applyFont="1" applyFill="1" applyBorder="1" applyAlignment="1">
      <alignment horizontal="center" vertical="center"/>
    </xf>
    <xf numFmtId="9" fontId="7" fillId="0" borderId="13" xfId="63" applyFont="1" applyFill="1" applyBorder="1" applyAlignment="1">
      <alignment horizontal="center" vertical="center"/>
    </xf>
    <xf numFmtId="0" fontId="0" fillId="34" borderId="89" xfId="0" applyNumberFormat="1" applyFont="1" applyFill="1" applyBorder="1" applyAlignment="1">
      <alignment horizontal="left" vertical="center" wrapText="1"/>
    </xf>
    <xf numFmtId="0" fontId="0" fillId="34" borderId="90" xfId="0" applyNumberFormat="1" applyFont="1" applyFill="1" applyBorder="1" applyAlignment="1">
      <alignment horizontal="left" vertical="center" wrapText="1"/>
    </xf>
    <xf numFmtId="0" fontId="0" fillId="34" borderId="89"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93" xfId="0" applyFont="1" applyFill="1" applyBorder="1" applyAlignment="1">
      <alignment horizontal="left" vertical="center" wrapText="1"/>
    </xf>
    <xf numFmtId="11" fontId="10" fillId="0" borderId="154" xfId="0" applyNumberFormat="1" applyFont="1" applyFill="1" applyBorder="1" applyAlignment="1">
      <alignment horizontal="center"/>
    </xf>
    <xf numFmtId="11" fontId="10" fillId="0" borderId="118" xfId="0" applyNumberFormat="1" applyFont="1" applyFill="1" applyBorder="1" applyAlignment="1">
      <alignment horizontal="center"/>
    </xf>
    <xf numFmtId="11" fontId="10" fillId="0" borderId="150" xfId="0" applyNumberFormat="1" applyFont="1" applyFill="1" applyBorder="1" applyAlignment="1">
      <alignment horizontal="center"/>
    </xf>
    <xf numFmtId="0" fontId="6" fillId="0" borderId="0" xfId="0" applyFont="1" applyFill="1" applyAlignment="1">
      <alignment horizontal="left" wrapText="1"/>
    </xf>
    <xf numFmtId="0" fontId="12" fillId="0" borderId="0" xfId="0" applyFont="1" applyFill="1" applyAlignment="1">
      <alignment horizontal="center" wrapText="1"/>
    </xf>
    <xf numFmtId="0" fontId="45" fillId="34" borderId="26" xfId="0" applyFont="1" applyFill="1" applyBorder="1" applyAlignment="1" applyProtection="1">
      <alignment horizontal="center" vertical="center"/>
      <protection/>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45" fillId="34" borderId="26" xfId="0" applyFont="1" applyFill="1" applyBorder="1" applyAlignment="1">
      <alignment horizontal="center" vertical="center"/>
    </xf>
    <xf numFmtId="0" fontId="45" fillId="34" borderId="27" xfId="0" applyFont="1" applyFill="1" applyBorder="1" applyAlignment="1">
      <alignment horizontal="center" vertical="center"/>
    </xf>
    <xf numFmtId="0" fontId="78" fillId="0" borderId="200" xfId="0" applyFont="1" applyFill="1" applyBorder="1" applyAlignment="1">
      <alignment horizontal="left" vertical="center"/>
    </xf>
    <xf numFmtId="0" fontId="78" fillId="0" borderId="201" xfId="0" applyFont="1" applyFill="1" applyBorder="1" applyAlignment="1">
      <alignment horizontal="left" vertical="center"/>
    </xf>
    <xf numFmtId="0" fontId="78" fillId="0" borderId="202" xfId="0" applyFont="1" applyFill="1" applyBorder="1" applyAlignment="1">
      <alignment horizontal="left" vertical="center"/>
    </xf>
    <xf numFmtId="0" fontId="78" fillId="0" borderId="89" xfId="0" applyFont="1" applyFill="1" applyBorder="1" applyAlignment="1">
      <alignment horizontal="left" vertical="center"/>
    </xf>
    <xf numFmtId="0" fontId="78" fillId="0" borderId="90" xfId="0" applyFont="1" applyFill="1" applyBorder="1" applyAlignment="1">
      <alignment horizontal="left" vertical="center"/>
    </xf>
    <xf numFmtId="0" fontId="78" fillId="0" borderId="69" xfId="0" applyFont="1" applyFill="1" applyBorder="1" applyAlignment="1">
      <alignment horizontal="left" vertical="center"/>
    </xf>
    <xf numFmtId="0" fontId="14" fillId="35" borderId="13" xfId="0" applyFont="1" applyFill="1" applyBorder="1" applyAlignment="1">
      <alignment horizontal="left" vertical="center"/>
    </xf>
    <xf numFmtId="0" fontId="10" fillId="35" borderId="117" xfId="0" applyFont="1" applyFill="1" applyBorder="1" applyAlignment="1">
      <alignment horizontal="center" vertical="center"/>
    </xf>
    <xf numFmtId="0" fontId="10" fillId="35" borderId="150"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2" xfId="57"/>
    <cellStyle name="Normal_SOILMOD_benzene" xfId="58"/>
    <cellStyle name="Normal_UNPROTECTED 4400-215" xfId="59"/>
    <cellStyle name="Normal_UNPROTECTED 4400-216" xfId="60"/>
    <cellStyle name="Note" xfId="61"/>
    <cellStyle name="Output" xfId="62"/>
    <cellStyle name="Percent" xfId="63"/>
    <cellStyle name="Title" xfId="64"/>
    <cellStyle name="Total" xfId="65"/>
    <cellStyle name="Warning Text" xfId="66"/>
  </cellStyles>
  <dxfs count="22">
    <dxf>
      <font>
        <b val="0"/>
        <i val="0"/>
        <color indexed="39"/>
      </font>
    </dxf>
    <dxf>
      <font>
        <b/>
        <i val="0"/>
        <color indexed="10"/>
      </font>
    </dxf>
    <dxf>
      <font>
        <color indexed="10"/>
      </font>
    </dxf>
    <dxf>
      <font>
        <color indexed="10"/>
      </font>
    </dxf>
    <dxf>
      <font>
        <b/>
        <i val="0"/>
        <color indexed="10"/>
      </font>
    </dxf>
    <dxf>
      <font>
        <b/>
        <i/>
        <color indexed="10"/>
      </font>
    </dxf>
    <dxf>
      <font>
        <b val="0"/>
        <i val="0"/>
        <color indexed="8"/>
      </font>
    </dxf>
    <dxf>
      <font>
        <b val="0"/>
        <i val="0"/>
        <color indexed="8"/>
      </font>
    </dxf>
    <dxf>
      <font>
        <b val="0"/>
        <i val="0"/>
        <color indexed="8"/>
      </font>
    </dxf>
    <dxf>
      <font>
        <b val="0"/>
        <i val="0"/>
        <color indexed="8"/>
      </font>
    </dxf>
    <dxf>
      <font>
        <color indexed="52"/>
      </font>
    </dxf>
    <dxf>
      <font>
        <b/>
        <i/>
        <color indexed="10"/>
      </font>
    </dxf>
    <dxf>
      <font>
        <b/>
        <i val="0"/>
        <color indexed="10"/>
      </font>
    </dxf>
    <dxf>
      <font>
        <b/>
        <i val="0"/>
        <color indexed="10"/>
      </font>
    </dxf>
    <dxf>
      <font>
        <b val="0"/>
        <i val="0"/>
        <color indexed="8"/>
      </font>
    </dxf>
    <dxf>
      <font>
        <color indexed="10"/>
      </font>
    </dxf>
    <dxf>
      <font>
        <color rgb="FFFF0000"/>
      </font>
      <border/>
    </dxf>
    <dxf>
      <font>
        <b val="0"/>
        <i val="0"/>
        <color rgb="FF000000"/>
      </font>
      <border/>
    </dxf>
    <dxf>
      <font>
        <b/>
        <i val="0"/>
        <color rgb="FFFF0000"/>
      </font>
      <border/>
    </dxf>
    <dxf>
      <font>
        <b/>
        <i/>
        <color rgb="FFFF0000"/>
      </font>
      <border/>
    </dxf>
    <dxf>
      <font>
        <color rgb="FF996633"/>
      </font>
      <border/>
    </dxf>
    <dxf>
      <font>
        <b val="0"/>
        <i val="0"/>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
        </c:manualLayout>
      </c:layout>
      <c:spPr>
        <a:noFill/>
        <a:ln>
          <a:noFill/>
        </a:ln>
      </c:spPr>
      <c:txPr>
        <a:bodyPr vert="horz" rot="0"/>
        <a:lstStyle/>
        <a:p>
          <a:pPr>
            <a:defRPr lang="en-US" cap="none" sz="700" b="1" i="0" u="none" baseline="0">
              <a:solidFill>
                <a:srgbClr val="000000"/>
              </a:solidFill>
              <a:latin typeface="Times New Roman"/>
              <a:ea typeface="Times New Roman"/>
              <a:cs typeface="Times New Roman"/>
            </a:defRPr>
          </a:pPr>
        </a:p>
      </c:txPr>
    </c:title>
    <c:plotArea>
      <c:layout>
        <c:manualLayout>
          <c:xMode val="edge"/>
          <c:yMode val="edge"/>
          <c:x val="0.08675"/>
          <c:y val="0.06275"/>
          <c:w val="0.87925"/>
          <c:h val="0.8335"/>
        </c:manualLayout>
      </c:layout>
      <c:scatterChart>
        <c:scatterStyle val="lineMarker"/>
        <c:varyColors val="0"/>
        <c:ser>
          <c:idx val="0"/>
          <c:order val="0"/>
          <c:tx>
            <c:strRef>
              <c:f>Mann_Kendall!$AL$43</c:f>
              <c:strCache>
                <c:ptCount val="1"/>
                <c:pt idx="0">
                  <c:v>Toluene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424242"/>
                </a:solidFill>
              </a:ln>
            </c:spPr>
          </c:marker>
          <c:xVal>
            <c:strRef>
              <c:f>Mann_Kendall!$AK$44:$AK$59</c:f>
              <c:strCache/>
            </c:strRef>
          </c:xVal>
          <c:yVal>
            <c:numRef>
              <c:f>Mann_Kendall!$AL$44:$AL$59</c:f>
              <c:numCache/>
            </c:numRef>
          </c:yVal>
          <c:smooth val="0"/>
        </c:ser>
        <c:axId val="21537138"/>
        <c:axId val="59616515"/>
      </c:scatterChart>
      <c:valAx>
        <c:axId val="21537138"/>
        <c:scaling>
          <c:orientation val="minMax"/>
        </c:scaling>
        <c:axPos val="b"/>
        <c:title>
          <c:tx>
            <c:rich>
              <a:bodyPr vert="horz" rot="0" anchor="ctr"/>
              <a:lstStyle/>
              <a:p>
                <a:pPr algn="ctr">
                  <a:defRPr/>
                </a:pPr>
                <a:r>
                  <a:rPr lang="en-US" cap="none" sz="800" b="1" i="0" u="none" baseline="0">
                    <a:solidFill>
                      <a:srgbClr val="000000"/>
                    </a:solidFill>
                    <a:latin typeface="Times New Roman"/>
                    <a:ea typeface="Times New Roman"/>
                    <a:cs typeface="Times New Roman"/>
                  </a:rPr>
                  <a:t>Sampling Date</a:t>
                </a:r>
              </a:p>
            </c:rich>
          </c:tx>
          <c:layout>
            <c:manualLayout>
              <c:xMode val="factor"/>
              <c:yMode val="factor"/>
              <c:x val="-0.00675"/>
              <c:y val="-0.01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latin typeface="Times New Roman"/>
                <a:ea typeface="Times New Roman"/>
                <a:cs typeface="Times New Roman"/>
              </a:defRPr>
            </a:pPr>
          </a:p>
        </c:txPr>
        <c:crossAx val="59616515"/>
        <c:crosses val="autoZero"/>
        <c:crossBetween val="midCat"/>
        <c:dispUnits/>
      </c:valAx>
      <c:valAx>
        <c:axId val="59616515"/>
        <c:scaling>
          <c:orientation val="minMax"/>
        </c:scaling>
        <c:axPos val="l"/>
        <c:title>
          <c:tx>
            <c:rich>
              <a:bodyPr vert="horz" rot="-5400000" anchor="ctr"/>
              <a:lstStyle/>
              <a:p>
                <a:pPr algn="ctr">
                  <a:defRPr/>
                </a:pPr>
                <a:r>
                  <a:rPr lang="en-US" cap="none" sz="700" b="1" i="0" u="none" baseline="0">
                    <a:solidFill>
                      <a:srgbClr val="000000"/>
                    </a:solidFill>
                    <a:latin typeface="Times New Roman"/>
                    <a:ea typeface="Times New Roman"/>
                    <a:cs typeface="Times New Roman"/>
                  </a:rPr>
                  <a:t>Conc, ug/L</a:t>
                </a:r>
              </a:p>
            </c:rich>
          </c:tx>
          <c:layout>
            <c:manualLayout>
              <c:xMode val="factor"/>
              <c:yMode val="factor"/>
              <c:x val="0"/>
              <c:y val="0.0027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crossAx val="2153713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Times New Roman"/>
                <a:ea typeface="Times New Roman"/>
                <a:cs typeface="Times New Roman"/>
              </a:rPr>
              <a:t>Concentration vs. Sampling Time</a:t>
            </a:r>
          </a:p>
        </c:rich>
      </c:tx>
      <c:layout>
        <c:manualLayout>
          <c:xMode val="factor"/>
          <c:yMode val="factor"/>
          <c:x val="0.0495"/>
          <c:y val="-0.0175"/>
        </c:manualLayout>
      </c:layout>
      <c:spPr>
        <a:noFill/>
        <a:ln>
          <a:noFill/>
        </a:ln>
      </c:spPr>
    </c:title>
    <c:plotArea>
      <c:layout>
        <c:manualLayout>
          <c:xMode val="edge"/>
          <c:yMode val="edge"/>
          <c:x val="0.113"/>
          <c:y val="0.05975"/>
          <c:w val="0.8465"/>
          <c:h val="0.868"/>
        </c:manualLayout>
      </c:layout>
      <c:scatterChart>
        <c:scatterStyle val="lineMarker"/>
        <c:varyColors val="0"/>
        <c:ser>
          <c:idx val="0"/>
          <c:order val="0"/>
          <c:tx>
            <c:strRef>
              <c:f>Mann_Kendall!$AO$46</c:f>
              <c:strCache>
                <c:ptCount val="1"/>
                <c:pt idx="0">
                  <c:v>Benzene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Mann_Kendall!$AN$47:$AN$61</c:f>
              <c:strCache/>
            </c:strRef>
          </c:xVal>
          <c:yVal>
            <c:numRef>
              <c:f>Mann_Kendall!$AO$47:$AO$61</c:f>
              <c:numCache/>
            </c:numRef>
          </c:yVal>
          <c:smooth val="0"/>
        </c:ser>
        <c:ser>
          <c:idx val="1"/>
          <c:order val="1"/>
          <c:tx>
            <c:strRef>
              <c:f>Mann_Kendall!$AP$46</c:f>
              <c:strCache>
                <c:ptCount val="1"/>
                <c:pt idx="0">
                  <c:v>Toluene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Mann_Kendall!$AN$47:$AN$61</c:f>
              <c:strCache/>
            </c:strRef>
          </c:xVal>
          <c:yVal>
            <c:numRef>
              <c:f>Mann_Kendall!$AP$47:$AP$61</c:f>
              <c:numCache/>
            </c:numRef>
          </c:yVal>
          <c:smooth val="0"/>
        </c:ser>
        <c:ser>
          <c:idx val="2"/>
          <c:order val="2"/>
          <c:tx>
            <c:strRef>
              <c:f>Mann_Kendall!$AQ$46</c:f>
              <c:strCache>
                <c:ptCount val="1"/>
                <c:pt idx="0">
                  <c:v>Naphthalene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Mann_Kendall!$AN$47:$AN$61</c:f>
              <c:strCache/>
            </c:strRef>
          </c:xVal>
          <c:yVal>
            <c:numRef>
              <c:f>Mann_Kendall!$AQ$47:$AQ$61</c:f>
              <c:numCache/>
            </c:numRef>
          </c:yVal>
          <c:smooth val="0"/>
        </c:ser>
        <c:ser>
          <c:idx val="3"/>
          <c:order val="3"/>
          <c:tx>
            <c:strRef>
              <c:f>Mann_Kendall!$AR$46</c:f>
              <c:strCache>
                <c:ptCount val="1"/>
                <c:pt idx="0">
                  <c:v>Xylenes</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Mann_Kendall!$AN$47:$AN$61</c:f>
              <c:strCache/>
            </c:strRef>
          </c:xVal>
          <c:yVal>
            <c:numRef>
              <c:f>Mann_Kendall!$AR$47:$AR$61</c:f>
              <c:numCache/>
            </c:numRef>
          </c:yVal>
          <c:smooth val="0"/>
        </c:ser>
        <c:ser>
          <c:idx val="4"/>
          <c:order val="4"/>
          <c:tx>
            <c:strRef>
              <c:f>Mann_Kendall!$AS$46</c:f>
              <c:strCache>
                <c:ptCount val="1"/>
                <c:pt idx="0">
                  <c:v>MTBE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Mann_Kendall!$AN$47:$AN$61</c:f>
              <c:strCache/>
            </c:strRef>
          </c:xVal>
          <c:yVal>
            <c:numRef>
              <c:f>Mann_Kendall!$AS$47:$AS$61</c:f>
              <c:numCache/>
            </c:numRef>
          </c:yVal>
          <c:smooth val="0"/>
        </c:ser>
        <c:ser>
          <c:idx val="5"/>
          <c:order val="5"/>
          <c:tx>
            <c:strRef>
              <c:f>Mann_Kendall!$AT$46</c:f>
              <c:strCache>
                <c:ptCount val="1"/>
                <c:pt idx="0">
                  <c:v>Ethylbenzene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strRef>
              <c:f>Mann_Kendall!$AN$47:$AN$61</c:f>
              <c:strCache/>
            </c:strRef>
          </c:xVal>
          <c:yVal>
            <c:numRef>
              <c:f>Mann_Kendall!$AT$47:$AT$61</c:f>
              <c:numCache/>
            </c:numRef>
          </c:yVal>
          <c:smooth val="0"/>
        </c:ser>
        <c:axId val="66786588"/>
        <c:axId val="64208381"/>
      </c:scatterChart>
      <c:valAx>
        <c:axId val="66786588"/>
        <c:scaling>
          <c:orientation val="minMax"/>
        </c:scaling>
        <c:axPos val="b"/>
        <c:title>
          <c:tx>
            <c:rich>
              <a:bodyPr vert="horz" rot="0" anchor="ctr"/>
              <a:lstStyle/>
              <a:p>
                <a:pPr algn="ctr">
                  <a:defRPr/>
                </a:pPr>
                <a:r>
                  <a:rPr lang="en-US" cap="none" sz="800" b="1" i="0" u="none" baseline="0">
                    <a:solidFill>
                      <a:srgbClr val="000000"/>
                    </a:solidFill>
                    <a:latin typeface="Times New Roman"/>
                    <a:ea typeface="Times New Roman"/>
                    <a:cs typeface="Times New Roman"/>
                  </a:rPr>
                  <a:t>Sampling Date</a:t>
                </a:r>
              </a:p>
            </c:rich>
          </c:tx>
          <c:layout>
            <c:manualLayout>
              <c:xMode val="factor"/>
              <c:yMode val="factor"/>
              <c:x val="-0.00225"/>
              <c:y val="0.018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latin typeface="Times New Roman"/>
                <a:ea typeface="Times New Roman"/>
                <a:cs typeface="Times New Roman"/>
              </a:defRPr>
            </a:pPr>
          </a:p>
        </c:txPr>
        <c:crossAx val="64208381"/>
        <c:crosses val="autoZero"/>
        <c:crossBetween val="midCat"/>
        <c:dispUnits/>
      </c:valAx>
      <c:valAx>
        <c:axId val="64208381"/>
        <c:scaling>
          <c:orientation val="minMax"/>
        </c:scaling>
        <c:axPos val="l"/>
        <c:title>
          <c:tx>
            <c:rich>
              <a:bodyPr vert="horz" rot="-5400000" anchor="ctr"/>
              <a:lstStyle/>
              <a:p>
                <a:pPr algn="ctr">
                  <a:defRPr/>
                </a:pPr>
                <a:r>
                  <a:rPr lang="en-US" cap="none" sz="700" b="1" i="0" u="none" baseline="0">
                    <a:solidFill>
                      <a:srgbClr val="000000"/>
                    </a:solidFill>
                    <a:latin typeface="Times New Roman"/>
                    <a:ea typeface="Times New Roman"/>
                    <a:cs typeface="Times New Roman"/>
                  </a:rPr>
                  <a:t>Conc, ug/L</a:t>
                </a:r>
              </a:p>
            </c:rich>
          </c:tx>
          <c:layout>
            <c:manualLayout>
              <c:xMode val="factor"/>
              <c:yMode val="factor"/>
              <c:x val="-0.002"/>
              <c:y val="0"/>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crossAx val="66786588"/>
        <c:crosses val="autoZero"/>
        <c:crossBetween val="midCat"/>
        <c:dispUnits/>
      </c:valAx>
      <c:spPr>
        <a:solidFill>
          <a:srgbClr val="C0C0C0"/>
        </a:solidFill>
        <a:ln w="3175">
          <a:noFill/>
        </a:ln>
      </c:spPr>
    </c:plotArea>
    <c:legend>
      <c:legendPos val="r"/>
      <c:layout>
        <c:manualLayout>
          <c:xMode val="edge"/>
          <c:yMode val="edge"/>
          <c:x val="0.51525"/>
          <c:y val="0.14775"/>
          <c:w val="0.32475"/>
          <c:h val="0.2255"/>
        </c:manualLayout>
      </c:layout>
      <c:overlay val="0"/>
      <c:spPr>
        <a:noFill/>
        <a:ln w="3175">
          <a:noFill/>
        </a:ln>
      </c:spPr>
      <c:txPr>
        <a:bodyPr vert="horz" rot="0"/>
        <a:lstStyle/>
        <a:p>
          <a:pPr>
            <a:defRPr lang="en-US" cap="none" sz="73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Times New Roman"/>
                <a:ea typeface="Times New Roman"/>
                <a:cs typeface="Times New Roman"/>
              </a:rPr>
              <a:t>Concentration vs. Sampling Time</a:t>
            </a:r>
          </a:p>
        </c:rich>
      </c:tx>
      <c:layout>
        <c:manualLayout>
          <c:xMode val="factor"/>
          <c:yMode val="factor"/>
          <c:x val="0.049"/>
          <c:y val="-0.01625"/>
        </c:manualLayout>
      </c:layout>
      <c:spPr>
        <a:noFill/>
        <a:ln>
          <a:noFill/>
        </a:ln>
      </c:spPr>
    </c:title>
    <c:plotArea>
      <c:layout>
        <c:manualLayout>
          <c:xMode val="edge"/>
          <c:yMode val="edge"/>
          <c:x val="0.07075"/>
          <c:y val="0.0315"/>
          <c:w val="0.925"/>
          <c:h val="0.88725"/>
        </c:manualLayout>
      </c:layout>
      <c:scatterChart>
        <c:scatterStyle val="lineMarker"/>
        <c:varyColors val="0"/>
        <c:ser>
          <c:idx val="0"/>
          <c:order val="0"/>
          <c:tx>
            <c:strRef>
              <c:f>Mann_Whitney_U!$Q$14</c:f>
              <c:strCache>
                <c:ptCount val="1"/>
                <c:pt idx="0">
                  <c:v>Toluene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Mann_Whitney_U!$P$15:$P$22</c:f>
              <c:strCache/>
            </c:strRef>
          </c:xVal>
          <c:yVal>
            <c:numRef>
              <c:f>Mann_Whitney_U!$Q$15:$Q$22</c:f>
              <c:numCache/>
            </c:numRef>
          </c:yVal>
          <c:smooth val="0"/>
        </c:ser>
        <c:ser>
          <c:idx val="1"/>
          <c:order val="1"/>
          <c:tx>
            <c:strRef>
              <c:f>Mann_Whitney_U!$R$14</c:f>
              <c:strCache>
                <c:ptCount val="1"/>
                <c:pt idx="0">
                  <c:v>Benzene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Mann_Whitney_U!$P$15:$P$22</c:f>
              <c:strCache/>
            </c:strRef>
          </c:xVal>
          <c:yVal>
            <c:numRef>
              <c:f>Mann_Whitney_U!$R$15:$R$22</c:f>
              <c:numCache/>
            </c:numRef>
          </c:yVal>
          <c:smooth val="0"/>
        </c:ser>
        <c:ser>
          <c:idx val="2"/>
          <c:order val="2"/>
          <c:tx>
            <c:strRef>
              <c:f>Mann_Whitney_U!$S$14</c:f>
              <c:strCache>
                <c:ptCount val="1"/>
                <c:pt idx="0">
                  <c:v>Ethylbenzene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Mann_Whitney_U!$P$15:$P$22</c:f>
              <c:strCache/>
            </c:strRef>
          </c:xVal>
          <c:yVal>
            <c:numRef>
              <c:f>Mann_Whitney_U!$S$15:$S$22</c:f>
              <c:numCache/>
            </c:numRef>
          </c:yVal>
          <c:smooth val="0"/>
        </c:ser>
        <c:ser>
          <c:idx val="3"/>
          <c:order val="3"/>
          <c:tx>
            <c:strRef>
              <c:f>Mann_Whitney_U!$T$14</c:f>
              <c:strCache>
                <c:ptCount val="1"/>
                <c:pt idx="0">
                  <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Mann_Whitney_U!$P$15:$P$22</c:f>
              <c:strCache/>
            </c:strRef>
          </c:xVal>
          <c:yVal>
            <c:numRef>
              <c:f>Mann_Whitney_U!$T$15:$T$22</c:f>
              <c:numCache/>
            </c:numRef>
          </c:yVal>
          <c:smooth val="0"/>
        </c:ser>
        <c:ser>
          <c:idx val="4"/>
          <c:order val="4"/>
          <c:tx>
            <c:strRef>
              <c:f>Mann_Whitney_U!$U$14</c:f>
              <c:strCache>
                <c:ptCount val="1"/>
                <c:pt idx="0">
                  <c:v>Naphthalene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Mann_Whitney_U!$P$15:$P$22</c:f>
              <c:strCache/>
            </c:strRef>
          </c:xVal>
          <c:yVal>
            <c:numRef>
              <c:f>Mann_Whitney_U!$U$15:$U$22</c:f>
              <c:numCache/>
            </c:numRef>
          </c:yVal>
          <c:smooth val="0"/>
        </c:ser>
        <c:ser>
          <c:idx val="5"/>
          <c:order val="5"/>
          <c:tx>
            <c:strRef>
              <c:f>Mann_Whitney_U!$V$14</c:f>
              <c:strCache>
                <c:ptCount val="1"/>
                <c:pt idx="0">
                  <c:v>MTBE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strRef>
              <c:f>Mann_Whitney_U!$P$15:$P$22</c:f>
              <c:strCache/>
            </c:strRef>
          </c:xVal>
          <c:yVal>
            <c:numRef>
              <c:f>Mann_Whitney_U!$V$15:$V$22</c:f>
              <c:numCache/>
            </c:numRef>
          </c:yVal>
          <c:smooth val="0"/>
        </c:ser>
        <c:axId val="41004518"/>
        <c:axId val="33496343"/>
      </c:scatterChart>
      <c:valAx>
        <c:axId val="41004518"/>
        <c:scaling>
          <c:orientation val="minMax"/>
        </c:scaling>
        <c:axPos val="b"/>
        <c:title>
          <c:tx>
            <c:rich>
              <a:bodyPr vert="horz" rot="0" anchor="ctr"/>
              <a:lstStyle/>
              <a:p>
                <a:pPr algn="ctr">
                  <a:defRPr/>
                </a:pPr>
                <a:r>
                  <a:rPr lang="en-US" cap="none" sz="1000" b="1" i="0" u="none" baseline="0">
                    <a:solidFill>
                      <a:srgbClr val="000000"/>
                    </a:solidFill>
                    <a:latin typeface="Times New Roman"/>
                    <a:ea typeface="Times New Roman"/>
                    <a:cs typeface="Times New Roman"/>
                  </a:rPr>
                  <a:t>Sampling Date</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latin typeface="Times New Roman"/>
                <a:ea typeface="Times New Roman"/>
                <a:cs typeface="Times New Roman"/>
              </a:defRPr>
            </a:pPr>
          </a:p>
        </c:txPr>
        <c:crossAx val="33496343"/>
        <c:crosses val="autoZero"/>
        <c:crossBetween val="midCat"/>
        <c:dispUnits/>
      </c:valAx>
      <c:valAx>
        <c:axId val="33496343"/>
        <c:scaling>
          <c:orientation val="minMax"/>
        </c:scaling>
        <c:axPos val="l"/>
        <c:title>
          <c:tx>
            <c:rich>
              <a:bodyPr vert="horz" rot="-5400000" anchor="ctr"/>
              <a:lstStyle/>
              <a:p>
                <a:pPr algn="ctr">
                  <a:defRPr/>
                </a:pPr>
                <a:r>
                  <a:rPr lang="en-US" cap="none" sz="875" b="1" i="0" u="none" baseline="0">
                    <a:solidFill>
                      <a:srgbClr val="000000"/>
                    </a:solidFill>
                    <a:latin typeface="Times New Roman"/>
                    <a:ea typeface="Times New Roman"/>
                    <a:cs typeface="Times New Roman"/>
                  </a:rPr>
                  <a:t>Conc, ug/L</a:t>
                </a:r>
              </a:p>
            </c:rich>
          </c:tx>
          <c:layout>
            <c:manualLayout>
              <c:xMode val="factor"/>
              <c:yMode val="factor"/>
              <c:x val="-0.00225"/>
              <c:y val="-0.000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1004518"/>
        <c:crosses val="autoZero"/>
        <c:crossBetween val="midCat"/>
        <c:dispUnits/>
      </c:valAx>
      <c:spPr>
        <a:solidFill>
          <a:srgbClr val="C0C0C0"/>
        </a:solidFill>
        <a:ln w="3175">
          <a:noFill/>
        </a:ln>
      </c:spPr>
    </c:plotArea>
    <c:legend>
      <c:legendPos val="r"/>
      <c:layout>
        <c:manualLayout>
          <c:xMode val="edge"/>
          <c:yMode val="edge"/>
          <c:x val="0.6225"/>
          <c:y val="0.17425"/>
          <c:w val="0.25575"/>
          <c:h val="0.185"/>
        </c:manualLayout>
      </c:layout>
      <c:overlay val="0"/>
      <c:spPr>
        <a:noFill/>
        <a:ln w="3175">
          <a:noFill/>
        </a:ln>
      </c:spPr>
      <c:txPr>
        <a:bodyPr vert="horz" rot="0"/>
        <a:lstStyle/>
        <a:p>
          <a:pPr>
            <a:defRPr lang="en-US" cap="none" sz="73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5"/>
          <c:y val="0"/>
        </c:manualLayout>
      </c:layout>
      <c:spPr>
        <a:noFill/>
        <a:ln>
          <a:noFill/>
        </a:ln>
      </c:spPr>
      <c:txPr>
        <a:bodyPr vert="horz" rot="0"/>
        <a:lstStyle/>
        <a:p>
          <a:pPr>
            <a:defRPr lang="en-US" cap="none" sz="800" b="1" i="0" u="none" baseline="0">
              <a:solidFill>
                <a:srgbClr val="000000"/>
              </a:solidFill>
              <a:latin typeface="Times New Roman"/>
              <a:ea typeface="Times New Roman"/>
              <a:cs typeface="Times New Roman"/>
            </a:defRPr>
          </a:pPr>
        </a:p>
      </c:txPr>
    </c:title>
    <c:plotArea>
      <c:layout>
        <c:manualLayout>
          <c:xMode val="edge"/>
          <c:yMode val="edge"/>
          <c:x val="0.079"/>
          <c:y val="0.05025"/>
          <c:w val="0.895"/>
          <c:h val="0.86975"/>
        </c:manualLayout>
      </c:layout>
      <c:scatterChart>
        <c:scatterStyle val="lineMarker"/>
        <c:varyColors val="0"/>
        <c:ser>
          <c:idx val="0"/>
          <c:order val="0"/>
          <c:tx>
            <c:strRef>
              <c:f>Mann_Whitney_U!$D$32</c:f>
              <c:strCache>
                <c:ptCount val="1"/>
                <c:pt idx="0">
                  <c:v>Toluene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424242"/>
                </a:solidFill>
              </a:ln>
            </c:spPr>
          </c:marker>
          <c:xVal>
            <c:strRef>
              <c:f>Mann_Whitney_U!$C$33:$C$40</c:f>
              <c:strCache/>
            </c:strRef>
          </c:xVal>
          <c:yVal>
            <c:numRef>
              <c:f>Mann_Whitney_U!$D$33:$D$40</c:f>
              <c:numCache/>
            </c:numRef>
          </c:yVal>
          <c:smooth val="0"/>
        </c:ser>
        <c:axId val="33031632"/>
        <c:axId val="28849233"/>
      </c:scatterChart>
      <c:valAx>
        <c:axId val="33031632"/>
        <c:scaling>
          <c:orientation val="minMax"/>
        </c:scaling>
        <c:axPos val="b"/>
        <c:title>
          <c:tx>
            <c:rich>
              <a:bodyPr vert="horz" rot="0" anchor="ctr"/>
              <a:lstStyle/>
              <a:p>
                <a:pPr algn="ctr">
                  <a:defRPr/>
                </a:pPr>
                <a:r>
                  <a:rPr lang="en-US" cap="none" sz="1000" b="1" i="0" u="none" baseline="0">
                    <a:solidFill>
                      <a:srgbClr val="000000"/>
                    </a:solidFill>
                    <a:latin typeface="Times New Roman"/>
                    <a:ea typeface="Times New Roman"/>
                    <a:cs typeface="Times New Roman"/>
                  </a:rPr>
                  <a:t>Sampling Date</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640000"/>
          <a:lstStyle/>
          <a:p>
            <a:pPr>
              <a:defRPr lang="en-US" cap="none" sz="600" b="0" i="0" u="none" baseline="0">
                <a:solidFill>
                  <a:srgbClr val="000000"/>
                </a:solidFill>
                <a:latin typeface="Times New Roman"/>
                <a:ea typeface="Times New Roman"/>
                <a:cs typeface="Times New Roman"/>
              </a:defRPr>
            </a:pPr>
          </a:p>
        </c:txPr>
        <c:crossAx val="28849233"/>
        <c:crosses val="autoZero"/>
        <c:crossBetween val="midCat"/>
        <c:dispUnits/>
      </c:valAx>
      <c:valAx>
        <c:axId val="28849233"/>
        <c:scaling>
          <c:orientation val="minMax"/>
        </c:scaling>
        <c:axPos val="l"/>
        <c:title>
          <c:tx>
            <c:rich>
              <a:bodyPr vert="horz" rot="-5400000" anchor="ctr"/>
              <a:lstStyle/>
              <a:p>
                <a:pPr algn="ctr">
                  <a:defRPr/>
                </a:pPr>
                <a:r>
                  <a:rPr lang="en-US" cap="none" sz="875" b="1" i="0" u="none" baseline="0">
                    <a:solidFill>
                      <a:srgbClr val="000000"/>
                    </a:solidFill>
                    <a:latin typeface="Times New Roman"/>
                    <a:ea typeface="Times New Roman"/>
                    <a:cs typeface="Times New Roman"/>
                  </a:rPr>
                  <a:t>Conc, ug/L</a:t>
                </a:r>
              </a:p>
            </c:rich>
          </c:tx>
          <c:layout>
            <c:manualLayout>
              <c:xMode val="factor"/>
              <c:yMode val="factor"/>
              <c:x val="-0.00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crossAx val="3303163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CC99FF"/>
    </a:solidFill>
    <a:ln w="3175">
      <a:solidFill>
        <a:srgbClr val="000000"/>
      </a:solidFill>
    </a:ln>
  </c:spPr>
  <c:txPr>
    <a:bodyPr vert="horz" rot="0"/>
    <a:lstStyle/>
    <a:p>
      <a:pPr>
        <a:defRPr lang="en-US" cap="none" sz="875" b="0" i="0" u="none" baseline="0">
          <a:solidFill>
            <a:srgbClr val="000000"/>
          </a:solidFill>
          <a:latin typeface="Times New Roman"/>
          <a:ea typeface="Times New Roman"/>
          <a:cs typeface="Times New Roman"/>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Contaminant Concentration &amp; Ground water Elevation 
vs. Time
</a:t>
            </a:r>
          </a:p>
        </c:rich>
      </c:tx>
      <c:layout>
        <c:manualLayout>
          <c:xMode val="factor"/>
          <c:yMode val="factor"/>
          <c:x val="0.006"/>
          <c:y val="-0.00225"/>
        </c:manualLayout>
      </c:layout>
      <c:spPr>
        <a:noFill/>
        <a:ln>
          <a:noFill/>
        </a:ln>
      </c:spPr>
    </c:title>
    <c:plotArea>
      <c:layout>
        <c:manualLayout>
          <c:xMode val="edge"/>
          <c:yMode val="edge"/>
          <c:x val="0.04525"/>
          <c:y val="0.144"/>
          <c:w val="0.8515"/>
          <c:h val="0.748"/>
        </c:manualLayout>
      </c:layout>
      <c:scatterChart>
        <c:scatterStyle val="lineMarker"/>
        <c:varyColors val="0"/>
        <c:ser>
          <c:idx val="0"/>
          <c:order val="0"/>
          <c:tx>
            <c:strRef>
              <c:f>Historical_data_entry_1!$Z$68</c:f>
              <c:strCache>
                <c:ptCount val="1"/>
                <c:pt idx="0">
                  <c:v>MTBE @MW-2</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424242"/>
              </a:solidFill>
              <a:ln>
                <a:solidFill>
                  <a:srgbClr val="424242"/>
                </a:solidFill>
              </a:ln>
            </c:spPr>
          </c:marker>
          <c:trendline>
            <c:name>Trend of Contaminant @CL=0.5</c:name>
            <c:spPr>
              <a:ln w="3175">
                <a:solidFill>
                  <a:srgbClr val="000000"/>
                </a:solidFill>
              </a:ln>
            </c:spPr>
            <c:trendlineType val="exp"/>
            <c:dispEq val="1"/>
            <c:dispRSqr val="1"/>
            <c:trendlineLbl>
              <c:layout>
                <c:manualLayout>
                  <c:x val="0"/>
                  <c:y val="0"/>
                </c:manualLayout>
              </c:layout>
              <c:txPr>
                <a:bodyPr vert="horz" rot="0" anchor="ctr"/>
                <a:lstStyle/>
                <a:p>
                  <a:pPr algn="ctr">
                    <a:defRPr lang="en-US" cap="none" sz="800" b="0" i="0" u="none" baseline="0">
                      <a:solidFill>
                        <a:srgbClr val="000000"/>
                      </a:solidFill>
                      <a:latin typeface="Times New Roman"/>
                      <a:ea typeface="Times New Roman"/>
                      <a:cs typeface="Times New Roman"/>
                    </a:defRPr>
                  </a:pPr>
                </a:p>
              </c:txPr>
              <c:numFmt formatCode="General"/>
            </c:trendlineLbl>
          </c:trendline>
          <c:trendline>
            <c:spPr>
              <a:ln w="25400">
                <a:solidFill>
                  <a:srgbClr val="000000"/>
                </a:solidFill>
              </a:ln>
            </c:spPr>
            <c:trendlineType val="exp"/>
            <c:dispEq val="0"/>
            <c:dispRSqr val="0"/>
          </c:trendline>
          <c:xVal>
            <c:numRef>
              <c:f>Historical_data_entry_1!$Z$75:$Z$93</c:f>
              <c:numCache>
                <c:ptCount val="19"/>
                <c:pt idx="0">
                  <c:v>0</c:v>
                </c:pt>
                <c:pt idx="1">
                  <c:v>60</c:v>
                </c:pt>
                <c:pt idx="2">
                  <c:v>189</c:v>
                </c:pt>
                <c:pt idx="3">
                  <c:v>560</c:v>
                </c:pt>
                <c:pt idx="4">
                  <c:v>1162</c:v>
                </c:pt>
                <c:pt idx="5">
                  <c:v>1247</c:v>
                </c:pt>
                <c:pt idx="6">
                  <c:v>1336</c:v>
                </c:pt>
                <c:pt idx="7">
                  <c:v>1732</c:v>
                </c:pt>
                <c:pt idx="8">
                  <c:v>1841</c:v>
                </c:pt>
                <c:pt idx="9">
                  <c:v>1959</c:v>
                </c:pt>
                <c:pt idx="10">
                  <c:v>2016</c:v>
                </c:pt>
                <c:pt idx="11">
                  <c:v>2105</c:v>
                </c:pt>
                <c:pt idx="12">
                  <c:v>2180</c:v>
                </c:pt>
                <c:pt idx="13">
                  <c:v>#N/A</c:v>
                </c:pt>
                <c:pt idx="14">
                  <c:v>#N/A</c:v>
                </c:pt>
                <c:pt idx="15">
                  <c:v>#N/A</c:v>
                </c:pt>
                <c:pt idx="16">
                  <c:v>#N/A</c:v>
                </c:pt>
                <c:pt idx="17">
                  <c:v>#N/A</c:v>
                </c:pt>
                <c:pt idx="18">
                  <c:v>#N/A</c:v>
                </c:pt>
              </c:numCache>
            </c:numRef>
          </c:xVal>
          <c:yVal>
            <c:numRef>
              <c:f>Historical_data_entry_1!$AA$75:$AA$93</c:f>
              <c:numCache>
                <c:ptCount val="19"/>
                <c:pt idx="0">
                  <c:v>4260</c:v>
                </c:pt>
                <c:pt idx="1">
                  <c:v>5600</c:v>
                </c:pt>
                <c:pt idx="2">
                  <c:v>4500</c:v>
                </c:pt>
                <c:pt idx="3">
                  <c:v>2200</c:v>
                </c:pt>
                <c:pt idx="4">
                  <c:v>#N/A</c:v>
                </c:pt>
                <c:pt idx="5">
                  <c:v>890</c:v>
                </c:pt>
                <c:pt idx="6">
                  <c:v>378</c:v>
                </c:pt>
                <c:pt idx="7">
                  <c:v>456</c:v>
                </c:pt>
                <c:pt idx="8">
                  <c:v>78</c:v>
                </c:pt>
                <c:pt idx="9">
                  <c:v>22</c:v>
                </c:pt>
                <c:pt idx="10">
                  <c:v>8</c:v>
                </c:pt>
                <c:pt idx="11">
                  <c:v>12</c:v>
                </c:pt>
                <c:pt idx="12">
                  <c:v>5</c:v>
                </c:pt>
                <c:pt idx="13">
                  <c:v>#N/A</c:v>
                </c:pt>
                <c:pt idx="14">
                  <c:v>#N/A</c:v>
                </c:pt>
                <c:pt idx="15">
                  <c:v>#N/A</c:v>
                </c:pt>
                <c:pt idx="16">
                  <c:v>#N/A</c:v>
                </c:pt>
                <c:pt idx="17">
                  <c:v>#N/A</c:v>
                </c:pt>
                <c:pt idx="18">
                  <c:v>#N/A</c:v>
                </c:pt>
              </c:numCache>
            </c:numRef>
          </c:yVal>
          <c:smooth val="0"/>
        </c:ser>
        <c:ser>
          <c:idx val="2"/>
          <c:order val="2"/>
          <c:tx>
            <c:strRef>
              <c:f>Historical_data_entry_1!$AE$114</c:f>
              <c:strCache>
                <c:ptCount val="1"/>
                <c:pt idx="0">
                  <c:v>Contaminant @CL=0.85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FF0000"/>
                </a:solidFill>
                <a:prstDash val="dash"/>
              </a:ln>
            </c:spPr>
            <c:trendlineType val="exp"/>
            <c:forward val="240"/>
            <c:dispEq val="0"/>
            <c:dispRSqr val="0"/>
          </c:trendline>
          <c:xVal>
            <c:numRef>
              <c:f>Historical_data_entry_1!$AF$115:$AF$134</c:f>
              <c:numCache>
                <c:ptCount val="20"/>
                <c:pt idx="0">
                  <c:v>0</c:v>
                </c:pt>
                <c:pt idx="1">
                  <c:v>60</c:v>
                </c:pt>
                <c:pt idx="2">
                  <c:v>189</c:v>
                </c:pt>
                <c:pt idx="3">
                  <c:v>560</c:v>
                </c:pt>
                <c:pt idx="4">
                  <c:v>1162</c:v>
                </c:pt>
                <c:pt idx="5">
                  <c:v>1247</c:v>
                </c:pt>
                <c:pt idx="6">
                  <c:v>1336</c:v>
                </c:pt>
                <c:pt idx="7">
                  <c:v>1732</c:v>
                </c:pt>
                <c:pt idx="8">
                  <c:v>1841</c:v>
                </c:pt>
                <c:pt idx="9">
                  <c:v>1959</c:v>
                </c:pt>
                <c:pt idx="10">
                  <c:v>2016</c:v>
                </c:pt>
                <c:pt idx="11">
                  <c:v>2105</c:v>
                </c:pt>
                <c:pt idx="12">
                  <c:v>2180</c:v>
                </c:pt>
                <c:pt idx="13">
                  <c:v>#N/A</c:v>
                </c:pt>
                <c:pt idx="14">
                  <c:v>#N/A</c:v>
                </c:pt>
                <c:pt idx="15">
                  <c:v>#N/A</c:v>
                </c:pt>
                <c:pt idx="16">
                  <c:v>#N/A</c:v>
                </c:pt>
                <c:pt idx="17">
                  <c:v>#N/A</c:v>
                </c:pt>
                <c:pt idx="18">
                  <c:v>#N/A</c:v>
                </c:pt>
                <c:pt idx="19">
                  <c:v>#N/A</c:v>
                </c:pt>
              </c:numCache>
            </c:numRef>
          </c:xVal>
          <c:yVal>
            <c:numRef>
              <c:f>Historical_data_entry_1!$AE$115:$AE$134</c:f>
              <c:numCache>
                <c:ptCount val="20"/>
                <c:pt idx="0">
                  <c:v>9339.906737168883</c:v>
                </c:pt>
                <c:pt idx="1">
                  <c:v>8038.730486321219</c:v>
                </c:pt>
                <c:pt idx="2">
                  <c:v>5822.427173359587</c:v>
                </c:pt>
                <c:pt idx="3">
                  <c:v>2302.6532356835564</c:v>
                </c:pt>
                <c:pt idx="4">
                  <c:v>511.1001312676461</c:v>
                </c:pt>
                <c:pt idx="5">
                  <c:v>413.2405918225776</c:v>
                </c:pt>
                <c:pt idx="6">
                  <c:v>330.79298097808163</c:v>
                </c:pt>
                <c:pt idx="7">
                  <c:v>122.89460423311432</c:v>
                </c:pt>
                <c:pt idx="8">
                  <c:v>93.57670937622765</c:v>
                </c:pt>
                <c:pt idx="9">
                  <c:v>69.66737744944128</c:v>
                </c:pt>
                <c:pt idx="10">
                  <c:v>60.41324233072406</c:v>
                </c:pt>
                <c:pt idx="11">
                  <c:v>48.35990683536618</c:v>
                </c:pt>
                <c:pt idx="12">
                  <c:v>40.0905132666499</c:v>
                </c:pt>
                <c:pt idx="13">
                  <c:v>#N/A</c:v>
                </c:pt>
                <c:pt idx="14">
                  <c:v>#N/A</c:v>
                </c:pt>
                <c:pt idx="15">
                  <c:v>#N/A</c:v>
                </c:pt>
                <c:pt idx="16">
                  <c:v>#N/A</c:v>
                </c:pt>
                <c:pt idx="17">
                  <c:v>#N/A</c:v>
                </c:pt>
                <c:pt idx="18">
                  <c:v>#N/A</c:v>
                </c:pt>
                <c:pt idx="19">
                  <c:v>#N/A</c:v>
                </c:pt>
              </c:numCache>
            </c:numRef>
          </c:yVal>
          <c:smooth val="0"/>
        </c:ser>
        <c:axId val="58316506"/>
        <c:axId val="55086507"/>
      </c:scatterChart>
      <c:scatterChart>
        <c:scatterStyle val="lineMarker"/>
        <c:varyColors val="0"/>
        <c:ser>
          <c:idx val="1"/>
          <c:order val="1"/>
          <c:tx>
            <c:v>Groundwater Elevation</c:v>
          </c:tx>
          <c:spPr>
            <a:ln w="12700">
              <a:solidFill>
                <a:srgbClr val="3399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339933"/>
              </a:solidFill>
              <a:ln>
                <a:solidFill>
                  <a:srgbClr val="008000"/>
                </a:solidFill>
              </a:ln>
            </c:spPr>
          </c:marker>
          <c:xVal>
            <c:numRef>
              <c:f>Historical_data_entry_1!$Z$75:$Z$93</c:f>
              <c:numCache>
                <c:ptCount val="19"/>
                <c:pt idx="0">
                  <c:v>0</c:v>
                </c:pt>
                <c:pt idx="1">
                  <c:v>60</c:v>
                </c:pt>
                <c:pt idx="2">
                  <c:v>189</c:v>
                </c:pt>
                <c:pt idx="3">
                  <c:v>560</c:v>
                </c:pt>
                <c:pt idx="4">
                  <c:v>1162</c:v>
                </c:pt>
                <c:pt idx="5">
                  <c:v>1247</c:v>
                </c:pt>
                <c:pt idx="6">
                  <c:v>1336</c:v>
                </c:pt>
                <c:pt idx="7">
                  <c:v>1732</c:v>
                </c:pt>
                <c:pt idx="8">
                  <c:v>1841</c:v>
                </c:pt>
                <c:pt idx="9">
                  <c:v>1959</c:v>
                </c:pt>
                <c:pt idx="10">
                  <c:v>2016</c:v>
                </c:pt>
                <c:pt idx="11">
                  <c:v>2105</c:v>
                </c:pt>
                <c:pt idx="12">
                  <c:v>2180</c:v>
                </c:pt>
                <c:pt idx="13">
                  <c:v>#N/A</c:v>
                </c:pt>
                <c:pt idx="14">
                  <c:v>#N/A</c:v>
                </c:pt>
                <c:pt idx="15">
                  <c:v>#N/A</c:v>
                </c:pt>
                <c:pt idx="16">
                  <c:v>#N/A</c:v>
                </c:pt>
                <c:pt idx="17">
                  <c:v>#N/A</c:v>
                </c:pt>
                <c:pt idx="18">
                  <c:v>#N/A</c:v>
                </c:pt>
              </c:numCache>
            </c:numRef>
          </c:xVal>
          <c:yVal>
            <c:numRef>
              <c:f>Historical_data_entry_1!$AB$75:$AB$93</c:f>
              <c:numCache>
                <c:ptCount val="19"/>
                <c:pt idx="0">
                  <c:v>92.41</c:v>
                </c:pt>
                <c:pt idx="1">
                  <c:v>91.34</c:v>
                </c:pt>
                <c:pt idx="2">
                  <c:v>92.2</c:v>
                </c:pt>
                <c:pt idx="3">
                  <c:v>92.22</c:v>
                </c:pt>
                <c:pt idx="4">
                  <c:v>92.23</c:v>
                </c:pt>
                <c:pt idx="5">
                  <c:v>91.39</c:v>
                </c:pt>
                <c:pt idx="6">
                  <c:v>92.25</c:v>
                </c:pt>
                <c:pt idx="7">
                  <c:v>91.92</c:v>
                </c:pt>
                <c:pt idx="8">
                  <c:v>91.09</c:v>
                </c:pt>
                <c:pt idx="9">
                  <c:v>91.85</c:v>
                </c:pt>
                <c:pt idx="10">
                  <c:v>92.42</c:v>
                </c:pt>
                <c:pt idx="11">
                  <c:v>92.02</c:v>
                </c:pt>
                <c:pt idx="12">
                  <c:v>92.8</c:v>
                </c:pt>
                <c:pt idx="13">
                  <c:v>#N/A</c:v>
                </c:pt>
                <c:pt idx="14">
                  <c:v>#N/A</c:v>
                </c:pt>
                <c:pt idx="15">
                  <c:v>#N/A</c:v>
                </c:pt>
                <c:pt idx="16">
                  <c:v>#N/A</c:v>
                </c:pt>
                <c:pt idx="17">
                  <c:v>#N/A</c:v>
                </c:pt>
                <c:pt idx="18">
                  <c:v>#N/A</c:v>
                </c:pt>
              </c:numCache>
            </c:numRef>
          </c:yVal>
          <c:smooth val="0"/>
        </c:ser>
        <c:axId val="26016516"/>
        <c:axId val="32822053"/>
      </c:scatterChart>
      <c:valAx>
        <c:axId val="58316506"/>
        <c:scaling>
          <c:orientation val="minMax"/>
        </c:scaling>
        <c:axPos val="b"/>
        <c:title>
          <c:tx>
            <c:rich>
              <a:bodyPr vert="horz" rot="0" anchor="ctr"/>
              <a:lstStyle/>
              <a:p>
                <a:pPr algn="ctr">
                  <a:defRPr/>
                </a:pPr>
                <a:r>
                  <a:rPr lang="en-US" cap="none" sz="1150" b="1" i="0" u="none" baseline="0">
                    <a:solidFill>
                      <a:srgbClr val="000000"/>
                    </a:solidFill>
                  </a:rPr>
                  <a:t>Time, day</a:t>
                </a:r>
              </a:p>
            </c:rich>
          </c:tx>
          <c:layout>
            <c:manualLayout>
              <c:xMode val="factor"/>
              <c:yMode val="factor"/>
              <c:x val="-0.00225"/>
              <c:y val="0.00775"/>
            </c:manualLayout>
          </c:layout>
          <c:overlay val="0"/>
          <c:spPr>
            <a:noFill/>
            <a:ln>
              <a:noFill/>
            </a:ln>
          </c:spPr>
        </c:title>
        <c:delete val="0"/>
        <c:numFmt formatCode="General" sourceLinked="1"/>
        <c:majorTickMark val="out"/>
        <c:minorTickMark val="in"/>
        <c:tickLblPos val="nextTo"/>
        <c:spPr>
          <a:ln w="3175">
            <a:solidFill>
              <a:srgbClr val="000000"/>
            </a:solidFill>
          </a:ln>
        </c:spPr>
        <c:txPr>
          <a:bodyPr vert="horz" rot="0"/>
          <a:lstStyle/>
          <a:p>
            <a:pPr>
              <a:defRPr lang="en-US" cap="none" sz="925" b="0" i="0" u="none" baseline="0">
                <a:solidFill>
                  <a:srgbClr val="000000"/>
                </a:solidFill>
                <a:latin typeface="Times New Roman"/>
                <a:ea typeface="Times New Roman"/>
                <a:cs typeface="Times New Roman"/>
              </a:defRPr>
            </a:pPr>
          </a:p>
        </c:txPr>
        <c:crossAx val="55086507"/>
        <c:crosses val="autoZero"/>
        <c:crossBetween val="midCat"/>
        <c:dispUnits/>
      </c:valAx>
      <c:valAx>
        <c:axId val="55086507"/>
        <c:scaling>
          <c:logBase val="10"/>
          <c:orientation val="minMax"/>
        </c:scaling>
        <c:axPos val="l"/>
        <c:title>
          <c:tx>
            <c:rich>
              <a:bodyPr vert="horz" rot="-5400000" anchor="ctr"/>
              <a:lstStyle/>
              <a:p>
                <a:pPr algn="ctr">
                  <a:defRPr/>
                </a:pPr>
                <a:r>
                  <a:rPr lang="en-US" cap="none" sz="1100" b="1" i="0" u="none" baseline="0">
                    <a:solidFill>
                      <a:srgbClr val="000000"/>
                    </a:solidFill>
                  </a:rPr>
                  <a:t>Conc, ug/L</a:t>
                </a:r>
              </a:p>
            </c:rich>
          </c:tx>
          <c:layout>
            <c:manualLayout>
              <c:xMode val="factor"/>
              <c:yMode val="factor"/>
              <c:x val="0.00225"/>
              <c:y val="-0.004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defRPr>
            </a:pPr>
          </a:p>
        </c:txPr>
        <c:crossAx val="58316506"/>
        <c:crosses val="autoZero"/>
        <c:crossBetween val="midCat"/>
        <c:dispUnits/>
      </c:valAx>
      <c:valAx>
        <c:axId val="26016516"/>
        <c:scaling>
          <c:orientation val="minMax"/>
        </c:scaling>
        <c:axPos val="b"/>
        <c:delete val="1"/>
        <c:majorTickMark val="out"/>
        <c:minorTickMark val="none"/>
        <c:tickLblPos val="nextTo"/>
        <c:crossAx val="32822053"/>
        <c:crosses val="max"/>
        <c:crossBetween val="midCat"/>
        <c:dispUnits/>
      </c:valAx>
      <c:valAx>
        <c:axId val="32822053"/>
        <c:scaling>
          <c:orientation val="minMax"/>
        </c:scaling>
        <c:axPos val="l"/>
        <c:title>
          <c:tx>
            <c:rich>
              <a:bodyPr vert="horz" rot="-5400000" anchor="ctr"/>
              <a:lstStyle/>
              <a:p>
                <a:pPr algn="ctr">
                  <a:defRPr/>
                </a:pPr>
                <a:r>
                  <a:rPr lang="en-US" cap="none" sz="900" b="1" i="0" u="none" baseline="0">
                    <a:solidFill>
                      <a:srgbClr val="000000"/>
                    </a:solidFill>
                  </a:rPr>
                  <a:t>Groundwater Elevation, ft</a:t>
                </a:r>
              </a:p>
            </c:rich>
          </c:tx>
          <c:layout>
            <c:manualLayout>
              <c:xMode val="factor"/>
              <c:yMode val="factor"/>
              <c:x val="-0.0105"/>
              <c:y val="0.005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016516"/>
        <c:crosses val="max"/>
        <c:crossBetween val="midCat"/>
        <c:dispUnits/>
      </c:valAx>
      <c:spPr>
        <a:solidFill>
          <a:srgbClr val="C0C0C0"/>
        </a:solidFill>
        <a:ln w="3175">
          <a:noFill/>
        </a:ln>
      </c:spPr>
    </c:plotArea>
    <c:legend>
      <c:legendPos val="r"/>
      <c:legendEntry>
        <c:idx val="4"/>
        <c:delete val="1"/>
      </c:legendEntry>
      <c:layout>
        <c:manualLayout>
          <c:xMode val="edge"/>
          <c:yMode val="edge"/>
          <c:x val="0.41775"/>
          <c:y val="0.18425"/>
          <c:w val="0.4375"/>
          <c:h val="0.189"/>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Contaminant Concentration vs. Ground water Elevation</a:t>
            </a:r>
          </a:p>
        </c:rich>
      </c:tx>
      <c:layout>
        <c:manualLayout>
          <c:xMode val="factor"/>
          <c:yMode val="factor"/>
          <c:x val="0.0865"/>
          <c:y val="-0.02075"/>
        </c:manualLayout>
      </c:layout>
      <c:spPr>
        <a:noFill/>
        <a:ln>
          <a:noFill/>
        </a:ln>
      </c:spPr>
    </c:title>
    <c:plotArea>
      <c:layout>
        <c:manualLayout>
          <c:xMode val="edge"/>
          <c:yMode val="edge"/>
          <c:x val="0.0155"/>
          <c:y val="0.11025"/>
          <c:w val="0.97325"/>
          <c:h val="0.83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trendline>
            <c:spPr>
              <a:ln w="25400">
                <a:solidFill>
                  <a:srgbClr val="000000"/>
                </a:solidFill>
              </a:ln>
            </c:spPr>
            <c:trendlineType val="exp"/>
            <c:dispEq val="0"/>
            <c:dispRSqr val="1"/>
            <c:trendlineLbl>
              <c:layout>
                <c:manualLayout>
                  <c:x val="0"/>
                  <c:y val="0"/>
                </c:manualLayout>
              </c:layout>
              <c:txPr>
                <a:bodyPr vert="horz" rot="0" anchor="ctr"/>
                <a:lstStyle/>
                <a:p>
                  <a:pPr algn="ctr">
                    <a:defRPr lang="en-US" cap="none" sz="575" b="0" i="0" u="none" baseline="0">
                      <a:solidFill>
                        <a:srgbClr val="000000"/>
                      </a:solidFill>
                      <a:latin typeface="Times New Roman"/>
                      <a:ea typeface="Times New Roman"/>
                      <a:cs typeface="Times New Roman"/>
                    </a:defRPr>
                  </a:pPr>
                </a:p>
              </c:txPr>
              <c:numFmt formatCode="General"/>
            </c:trendlineLbl>
          </c:trendline>
          <c:xVal>
            <c:numRef>
              <c:f>Historical_data_entry_1!$AB$75:$AB$93</c:f>
              <c:numCache>
                <c:ptCount val="19"/>
                <c:pt idx="0">
                  <c:v>92.41</c:v>
                </c:pt>
                <c:pt idx="1">
                  <c:v>91.34</c:v>
                </c:pt>
                <c:pt idx="2">
                  <c:v>92.2</c:v>
                </c:pt>
                <c:pt idx="3">
                  <c:v>92.22</c:v>
                </c:pt>
                <c:pt idx="4">
                  <c:v>92.23</c:v>
                </c:pt>
                <c:pt idx="5">
                  <c:v>91.39</c:v>
                </c:pt>
                <c:pt idx="6">
                  <c:v>92.25</c:v>
                </c:pt>
                <c:pt idx="7">
                  <c:v>91.92</c:v>
                </c:pt>
                <c:pt idx="8">
                  <c:v>91.09</c:v>
                </c:pt>
                <c:pt idx="9">
                  <c:v>91.85</c:v>
                </c:pt>
                <c:pt idx="10">
                  <c:v>92.42</c:v>
                </c:pt>
                <c:pt idx="11">
                  <c:v>92.02</c:v>
                </c:pt>
                <c:pt idx="12">
                  <c:v>92.8</c:v>
                </c:pt>
                <c:pt idx="13">
                  <c:v>#N/A</c:v>
                </c:pt>
                <c:pt idx="14">
                  <c:v>#N/A</c:v>
                </c:pt>
                <c:pt idx="15">
                  <c:v>#N/A</c:v>
                </c:pt>
                <c:pt idx="16">
                  <c:v>#N/A</c:v>
                </c:pt>
                <c:pt idx="17">
                  <c:v>#N/A</c:v>
                </c:pt>
                <c:pt idx="18">
                  <c:v>#N/A</c:v>
                </c:pt>
              </c:numCache>
            </c:numRef>
          </c:xVal>
          <c:yVal>
            <c:numRef>
              <c:f>Historical_data_entry_1!$AA$75:$AA$93</c:f>
              <c:numCache>
                <c:ptCount val="19"/>
                <c:pt idx="0">
                  <c:v>4260</c:v>
                </c:pt>
                <c:pt idx="1">
                  <c:v>5600</c:v>
                </c:pt>
                <c:pt idx="2">
                  <c:v>4500</c:v>
                </c:pt>
                <c:pt idx="3">
                  <c:v>2200</c:v>
                </c:pt>
                <c:pt idx="4">
                  <c:v>#N/A</c:v>
                </c:pt>
                <c:pt idx="5">
                  <c:v>890</c:v>
                </c:pt>
                <c:pt idx="6">
                  <c:v>378</c:v>
                </c:pt>
                <c:pt idx="7">
                  <c:v>456</c:v>
                </c:pt>
                <c:pt idx="8">
                  <c:v>78</c:v>
                </c:pt>
                <c:pt idx="9">
                  <c:v>22</c:v>
                </c:pt>
                <c:pt idx="10">
                  <c:v>8</c:v>
                </c:pt>
                <c:pt idx="11">
                  <c:v>12</c:v>
                </c:pt>
                <c:pt idx="12">
                  <c:v>5</c:v>
                </c:pt>
                <c:pt idx="13">
                  <c:v>#N/A</c:v>
                </c:pt>
                <c:pt idx="14">
                  <c:v>#N/A</c:v>
                </c:pt>
                <c:pt idx="15">
                  <c:v>#N/A</c:v>
                </c:pt>
                <c:pt idx="16">
                  <c:v>#N/A</c:v>
                </c:pt>
                <c:pt idx="17">
                  <c:v>#N/A</c:v>
                </c:pt>
                <c:pt idx="18">
                  <c:v>#N/A</c:v>
                </c:pt>
              </c:numCache>
            </c:numRef>
          </c:yVal>
          <c:smooth val="0"/>
        </c:ser>
        <c:axId val="26963022"/>
        <c:axId val="41340607"/>
      </c:scatterChart>
      <c:valAx>
        <c:axId val="26963022"/>
        <c:scaling>
          <c:orientation val="minMax"/>
        </c:scaling>
        <c:axPos val="b"/>
        <c:title>
          <c:tx>
            <c:rich>
              <a:bodyPr vert="horz" rot="0" anchor="ctr"/>
              <a:lstStyle/>
              <a:p>
                <a:pPr algn="ctr">
                  <a:defRPr/>
                </a:pPr>
                <a:r>
                  <a:rPr lang="en-US" cap="none" sz="800" b="1" i="0" u="none" baseline="0">
                    <a:solidFill>
                      <a:srgbClr val="000000"/>
                    </a:solidFill>
                  </a:rPr>
                  <a:t>Groundwater Elevation, ft</a:t>
                </a:r>
              </a:p>
            </c:rich>
          </c:tx>
          <c:layout>
            <c:manualLayout>
              <c:xMode val="factor"/>
              <c:yMode val="factor"/>
              <c:x val="-0.0015"/>
              <c:y val="0.00125"/>
            </c:manualLayout>
          </c:layout>
          <c:overlay val="0"/>
          <c:spPr>
            <a:noFill/>
            <a:ln>
              <a:noFill/>
            </a:ln>
          </c:spPr>
        </c:title>
        <c:delete val="0"/>
        <c:numFmt formatCode="General" sourceLinked="1"/>
        <c:majorTickMark val="out"/>
        <c:minorTickMark val="in"/>
        <c:tickLblPos val="nextTo"/>
        <c:spPr>
          <a:ln w="3175">
            <a:solidFill>
              <a:srgbClr val="000000"/>
            </a:solidFill>
          </a:ln>
        </c:spPr>
        <c:crossAx val="41340607"/>
        <c:crosses val="autoZero"/>
        <c:crossBetween val="midCat"/>
        <c:dispUnits/>
      </c:valAx>
      <c:valAx>
        <c:axId val="41340607"/>
        <c:scaling>
          <c:logBase val="10"/>
          <c:orientation val="minMax"/>
        </c:scaling>
        <c:axPos val="l"/>
        <c:title>
          <c:tx>
            <c:rich>
              <a:bodyPr vert="horz" rot="-5400000" anchor="ctr"/>
              <a:lstStyle/>
              <a:p>
                <a:pPr algn="ctr">
                  <a:defRPr/>
                </a:pPr>
                <a:r>
                  <a:rPr lang="en-US" cap="none" sz="675" b="1" i="0" u="none" baseline="0">
                    <a:solidFill>
                      <a:srgbClr val="000000"/>
                    </a:solidFill>
                  </a:rPr>
                  <a:t>Conc, ug/L</a:t>
                </a:r>
              </a:p>
            </c:rich>
          </c:tx>
          <c:layout>
            <c:manualLayout>
              <c:xMode val="factor"/>
              <c:yMode val="factor"/>
              <c:x val="0.005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in"/>
        <c:tickLblPos val="nextTo"/>
        <c:spPr>
          <a:ln w="3175">
            <a:solidFill>
              <a:srgbClr val="000000"/>
            </a:solidFill>
          </a:ln>
        </c:spPr>
        <c:crossAx val="26963022"/>
        <c:crosses val="autoZero"/>
        <c:crossBetween val="midCat"/>
        <c:dispUnits/>
      </c:valAx>
      <c:spPr>
        <a:solidFill>
          <a:srgbClr val="C0C0C0"/>
        </a:solidFill>
        <a:ln w="3175">
          <a:noFill/>
        </a:ln>
      </c:spPr>
    </c:plotArea>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Times New Roman"/>
                <a:ea typeface="Times New Roman"/>
                <a:cs typeface="Times New Roman"/>
              </a:rPr>
              <a:t>Log Concentration vs. distance @ multiple sampling time</a:t>
            </a:r>
          </a:p>
        </c:rich>
      </c:tx>
      <c:layout>
        <c:manualLayout>
          <c:xMode val="factor"/>
          <c:yMode val="factor"/>
          <c:x val="0.0145"/>
          <c:y val="-0.01075"/>
        </c:manualLayout>
      </c:layout>
      <c:spPr>
        <a:noFill/>
        <a:ln>
          <a:noFill/>
        </a:ln>
      </c:spPr>
    </c:title>
    <c:plotArea>
      <c:layout>
        <c:manualLayout>
          <c:xMode val="edge"/>
          <c:yMode val="edge"/>
          <c:x val="0.01675"/>
          <c:y val="0.0925"/>
          <c:w val="0.981"/>
          <c:h val="0.772"/>
        </c:manualLayout>
      </c:layout>
      <c:scatterChart>
        <c:scatterStyle val="lineMarker"/>
        <c:varyColors val="0"/>
        <c:ser>
          <c:idx val="0"/>
          <c:order val="0"/>
          <c:tx>
            <c:strRef>
              <c:f>Historical_data_entry_1!$AE$86</c:f>
              <c:strCache>
                <c:ptCount val="1"/>
                <c:pt idx="0">
                  <c:v>1/1/98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Historical_data_entry_1!$AF$86:$AU$86</c:f>
              <c:numCache>
                <c:ptCount val="16"/>
                <c:pt idx="0">
                  <c:v>3800</c:v>
                </c:pt>
                <c:pt idx="1">
                  <c:v>#N/A</c:v>
                </c:pt>
                <c:pt idx="2">
                  <c:v>#N/A</c:v>
                </c:pt>
                <c:pt idx="3">
                  <c:v>#N/A</c:v>
                </c:pt>
                <c:pt idx="4">
                  <c:v>#N/A</c:v>
                </c:pt>
                <c:pt idx="5">
                  <c:v>#N/A</c:v>
                </c:pt>
                <c:pt idx="6">
                  <c:v>#N/A</c:v>
                </c:pt>
                <c:pt idx="7">
                  <c:v>#N/A</c:v>
                </c:pt>
                <c:pt idx="8">
                  <c:v>456</c:v>
                </c:pt>
                <c:pt idx="9">
                  <c:v>23</c:v>
                </c:pt>
                <c:pt idx="10">
                  <c:v>560</c:v>
                </c:pt>
                <c:pt idx="11">
                  <c:v>360</c:v>
                </c:pt>
                <c:pt idx="12">
                  <c:v>500</c:v>
                </c:pt>
                <c:pt idx="13">
                  <c:v>360</c:v>
                </c:pt>
                <c:pt idx="14">
                  <c:v>#N/A</c:v>
                </c:pt>
                <c:pt idx="15">
                  <c:v>#N/A</c:v>
                </c:pt>
              </c:numCache>
            </c:numRef>
          </c:yVal>
          <c:smooth val="0"/>
        </c:ser>
        <c:ser>
          <c:idx val="1"/>
          <c:order val="1"/>
          <c:tx>
            <c:strRef>
              <c:f>Historical_data_entry_1!$AE$87</c:f>
              <c:strCache>
                <c:ptCount val="1"/>
                <c:pt idx="0">
                  <c:v>6/6/98</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Historical_data_entry_1!$AF$87:$AU$87</c:f>
              <c:numCache>
                <c:ptCount val="16"/>
                <c:pt idx="0">
                  <c:v>2900</c:v>
                </c:pt>
                <c:pt idx="1">
                  <c:v>#N/A</c:v>
                </c:pt>
                <c:pt idx="2">
                  <c:v>#N/A</c:v>
                </c:pt>
                <c:pt idx="3">
                  <c:v>#N/A</c:v>
                </c:pt>
                <c:pt idx="4">
                  <c:v>#N/A</c:v>
                </c:pt>
                <c:pt idx="5">
                  <c:v>#N/A</c:v>
                </c:pt>
                <c:pt idx="6">
                  <c:v>#N/A</c:v>
                </c:pt>
                <c:pt idx="7">
                  <c:v>#N/A</c:v>
                </c:pt>
                <c:pt idx="8">
                  <c:v>78</c:v>
                </c:pt>
                <c:pt idx="9">
                  <c:v>10</c:v>
                </c:pt>
                <c:pt idx="10">
                  <c:v>#N/A</c:v>
                </c:pt>
                <c:pt idx="11">
                  <c:v>#N/A</c:v>
                </c:pt>
                <c:pt idx="12">
                  <c:v>635</c:v>
                </c:pt>
                <c:pt idx="13">
                  <c:v>455</c:v>
                </c:pt>
                <c:pt idx="14">
                  <c:v>#N/A</c:v>
                </c:pt>
                <c:pt idx="15">
                  <c:v>#N/A</c:v>
                </c:pt>
              </c:numCache>
            </c:numRef>
          </c:yVal>
          <c:smooth val="0"/>
        </c:ser>
        <c:ser>
          <c:idx val="2"/>
          <c:order val="2"/>
          <c:tx>
            <c:strRef>
              <c:f>Historical_data_entry_1!$AE$88</c:f>
              <c:strCache>
                <c:ptCount val="1"/>
                <c:pt idx="0">
                  <c:v>11/8/98</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Historical_data_entry_1!$AF$88:$AU$88</c:f>
              <c:numCache>
                <c:ptCount val="16"/>
                <c:pt idx="0">
                  <c:v>3200</c:v>
                </c:pt>
                <c:pt idx="1">
                  <c:v>#N/A</c:v>
                </c:pt>
                <c:pt idx="2">
                  <c:v>#N/A</c:v>
                </c:pt>
                <c:pt idx="3">
                  <c:v>#N/A</c:v>
                </c:pt>
                <c:pt idx="4">
                  <c:v>#N/A</c:v>
                </c:pt>
                <c:pt idx="5">
                  <c:v>#N/A</c:v>
                </c:pt>
                <c:pt idx="6">
                  <c:v>#N/A</c:v>
                </c:pt>
                <c:pt idx="7">
                  <c:v>#N/A</c:v>
                </c:pt>
                <c:pt idx="8">
                  <c:v>8</c:v>
                </c:pt>
                <c:pt idx="9">
                  <c:v>2</c:v>
                </c:pt>
                <c:pt idx="10">
                  <c:v>#N/A</c:v>
                </c:pt>
                <c:pt idx="11">
                  <c:v>#N/A</c:v>
                </c:pt>
                <c:pt idx="12">
                  <c:v>1210</c:v>
                </c:pt>
                <c:pt idx="13">
                  <c:v>#N/A</c:v>
                </c:pt>
                <c:pt idx="14">
                  <c:v>#N/A</c:v>
                </c:pt>
                <c:pt idx="15">
                  <c:v>#N/A</c:v>
                </c:pt>
              </c:numCache>
            </c:numRef>
          </c:yVal>
          <c:smooth val="0"/>
        </c:ser>
        <c:ser>
          <c:idx val="3"/>
          <c:order val="3"/>
          <c:tx>
            <c:strRef>
              <c:f>Historical_data_entry_1!$AE$89</c:f>
              <c:strCache>
                <c:ptCount val="1"/>
                <c:pt idx="0">
                  <c:v>5/10/99</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Historical_data_entry_1!$AF$89:$AU$89</c:f>
              <c:numCache>
                <c:ptCount val="16"/>
                <c:pt idx="0">
                  <c:v>2350</c:v>
                </c:pt>
                <c:pt idx="1">
                  <c:v>#N/A</c:v>
                </c:pt>
                <c:pt idx="2">
                  <c:v>#N/A</c:v>
                </c:pt>
                <c:pt idx="3">
                  <c:v>#N/A</c:v>
                </c:pt>
                <c:pt idx="4">
                  <c:v>#N/A</c:v>
                </c:pt>
                <c:pt idx="5">
                  <c:v>#N/A</c:v>
                </c:pt>
                <c:pt idx="6">
                  <c:v>#N/A</c:v>
                </c:pt>
                <c:pt idx="7">
                  <c:v>#N/A</c:v>
                </c:pt>
                <c:pt idx="8">
                  <c:v>5</c:v>
                </c:pt>
                <c:pt idx="9">
                  <c:v>#N/A</c:v>
                </c:pt>
                <c:pt idx="10">
                  <c:v>#N/A</c:v>
                </c:pt>
                <c:pt idx="11">
                  <c:v>56</c:v>
                </c:pt>
                <c:pt idx="12">
                  <c:v>700</c:v>
                </c:pt>
                <c:pt idx="13">
                  <c:v>450</c:v>
                </c:pt>
                <c:pt idx="14">
                  <c:v>#N/A</c:v>
                </c:pt>
                <c:pt idx="15">
                  <c:v>#N/A</c:v>
                </c:pt>
              </c:numCache>
            </c:numRef>
          </c:yVal>
          <c:smooth val="0"/>
        </c:ser>
        <c:ser>
          <c:idx val="4"/>
          <c:order val="4"/>
          <c:tx>
            <c:strRef>
              <c:f>Historical_data_entry_1!$AE$90</c:f>
              <c:strCache>
                <c:ptCount val="1"/>
                <c:pt idx="0">
                  <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Historical_data_entry_1!$AF$90:$AU$90</c:f>
              <c:numCache>
                <c:ptCount val="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yVal>
          <c:smooth val="0"/>
        </c:ser>
        <c:ser>
          <c:idx val="5"/>
          <c:order val="5"/>
          <c:tx>
            <c:strRef>
              <c:f>Historical_data_entry_1!$AE$91</c:f>
              <c:strCache>
                <c:ptCount val="1"/>
                <c:pt idx="0">
                  <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Historical_data_entry_1!$AF$91:$AU$91</c:f>
              <c:numCache>
                <c:ptCount val="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yVal>
          <c:smooth val="0"/>
        </c:ser>
        <c:axId val="36521144"/>
        <c:axId val="60254841"/>
      </c:scatterChart>
      <c:valAx>
        <c:axId val="36521144"/>
        <c:scaling>
          <c:orientation val="minMax"/>
        </c:scaling>
        <c:axPos val="b"/>
        <c:title>
          <c:tx>
            <c:rich>
              <a:bodyPr vert="horz" rot="0" anchor="ctr"/>
              <a:lstStyle/>
              <a:p>
                <a:pPr algn="ctr">
                  <a:defRPr/>
                </a:pPr>
                <a:r>
                  <a:rPr lang="en-US" cap="none" sz="1100" b="1" i="0" u="none" baseline="0">
                    <a:solidFill>
                      <a:srgbClr val="000000"/>
                    </a:solidFill>
                    <a:latin typeface="Times New Roman"/>
                    <a:ea typeface="Times New Roman"/>
                    <a:cs typeface="Times New Roman"/>
                  </a:rPr>
                  <a:t>Projected centerline distance from source, ft</a:t>
                </a:r>
              </a:p>
            </c:rich>
          </c:tx>
          <c:layout>
            <c:manualLayout>
              <c:xMode val="factor"/>
              <c:yMode val="factor"/>
              <c:x val="0"/>
              <c:y val="0.002"/>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Times New Roman"/>
                <a:ea typeface="Times New Roman"/>
                <a:cs typeface="Times New Roman"/>
              </a:defRPr>
            </a:pPr>
          </a:p>
        </c:txPr>
        <c:crossAx val="60254841"/>
        <c:crossesAt val="0.01"/>
        <c:crossBetween val="midCat"/>
        <c:dispUnits/>
      </c:valAx>
      <c:valAx>
        <c:axId val="60254841"/>
        <c:scaling>
          <c:logBase val="10"/>
          <c:orientation val="minMax"/>
        </c:scaling>
        <c:axPos val="l"/>
        <c:title>
          <c:tx>
            <c:rich>
              <a:bodyPr vert="horz" rot="-5400000" anchor="ctr"/>
              <a:lstStyle/>
              <a:p>
                <a:pPr algn="ctr">
                  <a:defRPr/>
                </a:pPr>
                <a:r>
                  <a:rPr lang="en-US" cap="none" sz="675" b="1" i="0" u="none" baseline="0">
                    <a:solidFill>
                      <a:srgbClr val="000000"/>
                    </a:solidFill>
                    <a:latin typeface="Times New Roman"/>
                    <a:ea typeface="Times New Roman"/>
                    <a:cs typeface="Times New Roman"/>
                  </a:rPr>
                  <a:t>Conc, ug/L</a:t>
                </a:r>
              </a:p>
            </c:rich>
          </c:tx>
          <c:layout>
            <c:manualLayout>
              <c:xMode val="factor"/>
              <c:yMode val="factor"/>
              <c:x val="0.00375"/>
              <c:y val="0.00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in"/>
        <c:tickLblPos val="nextTo"/>
        <c:spPr>
          <a:ln w="3175">
            <a:solidFill>
              <a:srgbClr val="000000"/>
            </a:solidFill>
          </a:ln>
        </c:spPr>
        <c:txPr>
          <a:bodyPr vert="horz" rot="0"/>
          <a:lstStyle/>
          <a:p>
            <a:pPr>
              <a:defRPr lang="en-US" cap="none" sz="875" b="0" i="0" u="none" baseline="0">
                <a:solidFill>
                  <a:srgbClr val="000000"/>
                </a:solidFill>
                <a:latin typeface="Times New Roman"/>
                <a:ea typeface="Times New Roman"/>
                <a:cs typeface="Times New Roman"/>
              </a:defRPr>
            </a:pPr>
          </a:p>
        </c:txPr>
        <c:crossAx val="36521144"/>
        <c:crosses val="autoZero"/>
        <c:crossBetween val="midCat"/>
        <c:dispUnits/>
      </c:valAx>
      <c:spPr>
        <a:solidFill>
          <a:srgbClr val="C0C0C0"/>
        </a:solidFill>
        <a:ln w="12700">
          <a:solidFill>
            <a:srgbClr val="808080"/>
          </a:solidFill>
        </a:ln>
      </c:spPr>
    </c:plotArea>
    <c:legend>
      <c:legendPos val="r"/>
      <c:layout>
        <c:manualLayout>
          <c:xMode val="edge"/>
          <c:yMode val="edge"/>
          <c:x val="0.787"/>
          <c:y val="0.11825"/>
          <c:w val="0.175"/>
          <c:h val="0.2215"/>
        </c:manualLayout>
      </c:layout>
      <c:overlay val="0"/>
      <c:spPr>
        <a:noFill/>
        <a:ln w="3175">
          <a:noFill/>
        </a:ln>
      </c:spPr>
      <c:txPr>
        <a:bodyPr vert="horz" rot="0"/>
        <a:lstStyle/>
        <a:p>
          <a:pPr>
            <a:defRPr lang="en-US" cap="none" sz="73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050" b="0" i="0" u="none" baseline="0">
          <a:solidFill>
            <a:srgbClr val="000000"/>
          </a:solidFill>
          <a:latin typeface="Times New Roman"/>
          <a:ea typeface="Times New Roman"/>
          <a:cs typeface="Times New Roman"/>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Times New Roman"/>
                <a:ea typeface="Times New Roman"/>
                <a:cs typeface="Times New Roman"/>
              </a:rPr>
              <a:t>Concentration vs. distance @ multiple sampling time</a:t>
            </a:r>
          </a:p>
        </c:rich>
      </c:tx>
      <c:layout>
        <c:manualLayout>
          <c:xMode val="factor"/>
          <c:yMode val="factor"/>
          <c:x val="0.059"/>
          <c:y val="-0.0065"/>
        </c:manualLayout>
      </c:layout>
      <c:spPr>
        <a:noFill/>
        <a:ln>
          <a:noFill/>
        </a:ln>
      </c:spPr>
    </c:title>
    <c:plotArea>
      <c:layout>
        <c:manualLayout>
          <c:xMode val="edge"/>
          <c:yMode val="edge"/>
          <c:x val="0.0305"/>
          <c:y val="0.08825"/>
          <c:w val="0.95775"/>
          <c:h val="0.77675"/>
        </c:manualLayout>
      </c:layout>
      <c:scatterChart>
        <c:scatterStyle val="lineMarker"/>
        <c:varyColors val="0"/>
        <c:ser>
          <c:idx val="0"/>
          <c:order val="0"/>
          <c:tx>
            <c:strRef>
              <c:f>Historical_data_entry_1!$AE$86</c:f>
              <c:strCache>
                <c:ptCount val="1"/>
                <c:pt idx="0">
                  <c:v>1/1/98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Historical_data_entry_1!$AF$86:$AU$86</c:f>
              <c:numCache>
                <c:ptCount val="16"/>
                <c:pt idx="0">
                  <c:v>3800</c:v>
                </c:pt>
                <c:pt idx="1">
                  <c:v>#N/A</c:v>
                </c:pt>
                <c:pt idx="2">
                  <c:v>#N/A</c:v>
                </c:pt>
                <c:pt idx="3">
                  <c:v>#N/A</c:v>
                </c:pt>
                <c:pt idx="4">
                  <c:v>#N/A</c:v>
                </c:pt>
                <c:pt idx="5">
                  <c:v>#N/A</c:v>
                </c:pt>
                <c:pt idx="6">
                  <c:v>#N/A</c:v>
                </c:pt>
                <c:pt idx="7">
                  <c:v>#N/A</c:v>
                </c:pt>
                <c:pt idx="8">
                  <c:v>456</c:v>
                </c:pt>
                <c:pt idx="9">
                  <c:v>23</c:v>
                </c:pt>
                <c:pt idx="10">
                  <c:v>560</c:v>
                </c:pt>
                <c:pt idx="11">
                  <c:v>360</c:v>
                </c:pt>
                <c:pt idx="12">
                  <c:v>500</c:v>
                </c:pt>
                <c:pt idx="13">
                  <c:v>360</c:v>
                </c:pt>
                <c:pt idx="14">
                  <c:v>#N/A</c:v>
                </c:pt>
                <c:pt idx="15">
                  <c:v>#N/A</c:v>
                </c:pt>
              </c:numCache>
            </c:numRef>
          </c:yVal>
          <c:smooth val="0"/>
        </c:ser>
        <c:ser>
          <c:idx val="1"/>
          <c:order val="1"/>
          <c:tx>
            <c:strRef>
              <c:f>Historical_data_entry_1!$AE$87</c:f>
              <c:strCache>
                <c:ptCount val="1"/>
                <c:pt idx="0">
                  <c:v>6/6/98</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Historical_data_entry_1!$AF$87:$AU$87</c:f>
              <c:numCache>
                <c:ptCount val="16"/>
                <c:pt idx="0">
                  <c:v>2900</c:v>
                </c:pt>
                <c:pt idx="1">
                  <c:v>#N/A</c:v>
                </c:pt>
                <c:pt idx="2">
                  <c:v>#N/A</c:v>
                </c:pt>
                <c:pt idx="3">
                  <c:v>#N/A</c:v>
                </c:pt>
                <c:pt idx="4">
                  <c:v>#N/A</c:v>
                </c:pt>
                <c:pt idx="5">
                  <c:v>#N/A</c:v>
                </c:pt>
                <c:pt idx="6">
                  <c:v>#N/A</c:v>
                </c:pt>
                <c:pt idx="7">
                  <c:v>#N/A</c:v>
                </c:pt>
                <c:pt idx="8">
                  <c:v>78</c:v>
                </c:pt>
                <c:pt idx="9">
                  <c:v>10</c:v>
                </c:pt>
                <c:pt idx="10">
                  <c:v>#N/A</c:v>
                </c:pt>
                <c:pt idx="11">
                  <c:v>#N/A</c:v>
                </c:pt>
                <c:pt idx="12">
                  <c:v>635</c:v>
                </c:pt>
                <c:pt idx="13">
                  <c:v>455</c:v>
                </c:pt>
                <c:pt idx="14">
                  <c:v>#N/A</c:v>
                </c:pt>
                <c:pt idx="15">
                  <c:v>#N/A</c:v>
                </c:pt>
              </c:numCache>
            </c:numRef>
          </c:yVal>
          <c:smooth val="0"/>
        </c:ser>
        <c:ser>
          <c:idx val="2"/>
          <c:order val="2"/>
          <c:tx>
            <c:strRef>
              <c:f>Historical_data_entry_1!$AE$88</c:f>
              <c:strCache>
                <c:ptCount val="1"/>
                <c:pt idx="0">
                  <c:v>11/8/98</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Historical_data_entry_1!$AF$88:$AU$88</c:f>
              <c:numCache>
                <c:ptCount val="16"/>
                <c:pt idx="0">
                  <c:v>3200</c:v>
                </c:pt>
                <c:pt idx="1">
                  <c:v>#N/A</c:v>
                </c:pt>
                <c:pt idx="2">
                  <c:v>#N/A</c:v>
                </c:pt>
                <c:pt idx="3">
                  <c:v>#N/A</c:v>
                </c:pt>
                <c:pt idx="4">
                  <c:v>#N/A</c:v>
                </c:pt>
                <c:pt idx="5">
                  <c:v>#N/A</c:v>
                </c:pt>
                <c:pt idx="6">
                  <c:v>#N/A</c:v>
                </c:pt>
                <c:pt idx="7">
                  <c:v>#N/A</c:v>
                </c:pt>
                <c:pt idx="8">
                  <c:v>8</c:v>
                </c:pt>
                <c:pt idx="9">
                  <c:v>2</c:v>
                </c:pt>
                <c:pt idx="10">
                  <c:v>#N/A</c:v>
                </c:pt>
                <c:pt idx="11">
                  <c:v>#N/A</c:v>
                </c:pt>
                <c:pt idx="12">
                  <c:v>1210</c:v>
                </c:pt>
                <c:pt idx="13">
                  <c:v>#N/A</c:v>
                </c:pt>
                <c:pt idx="14">
                  <c:v>#N/A</c:v>
                </c:pt>
                <c:pt idx="15">
                  <c:v>#N/A</c:v>
                </c:pt>
              </c:numCache>
            </c:numRef>
          </c:yVal>
          <c:smooth val="0"/>
        </c:ser>
        <c:ser>
          <c:idx val="3"/>
          <c:order val="3"/>
          <c:tx>
            <c:strRef>
              <c:f>Historical_data_entry_1!$AE$89</c:f>
              <c:strCache>
                <c:ptCount val="1"/>
                <c:pt idx="0">
                  <c:v>5/10/99</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Historical_data_entry_1!$AF$89:$AU$89</c:f>
              <c:numCache>
                <c:ptCount val="16"/>
                <c:pt idx="0">
                  <c:v>2350</c:v>
                </c:pt>
                <c:pt idx="1">
                  <c:v>#N/A</c:v>
                </c:pt>
                <c:pt idx="2">
                  <c:v>#N/A</c:v>
                </c:pt>
                <c:pt idx="3">
                  <c:v>#N/A</c:v>
                </c:pt>
                <c:pt idx="4">
                  <c:v>#N/A</c:v>
                </c:pt>
                <c:pt idx="5">
                  <c:v>#N/A</c:v>
                </c:pt>
                <c:pt idx="6">
                  <c:v>#N/A</c:v>
                </c:pt>
                <c:pt idx="7">
                  <c:v>#N/A</c:v>
                </c:pt>
                <c:pt idx="8">
                  <c:v>5</c:v>
                </c:pt>
                <c:pt idx="9">
                  <c:v>#N/A</c:v>
                </c:pt>
                <c:pt idx="10">
                  <c:v>#N/A</c:v>
                </c:pt>
                <c:pt idx="11">
                  <c:v>56</c:v>
                </c:pt>
                <c:pt idx="12">
                  <c:v>700</c:v>
                </c:pt>
                <c:pt idx="13">
                  <c:v>450</c:v>
                </c:pt>
                <c:pt idx="14">
                  <c:v>#N/A</c:v>
                </c:pt>
                <c:pt idx="15">
                  <c:v>#N/A</c:v>
                </c:pt>
              </c:numCache>
            </c:numRef>
          </c:yVal>
          <c:smooth val="0"/>
        </c:ser>
        <c:ser>
          <c:idx val="4"/>
          <c:order val="4"/>
          <c:tx>
            <c:strRef>
              <c:f>Historical_data_entry_1!$AE$90</c:f>
              <c:strCache>
                <c:ptCount val="1"/>
                <c:pt idx="0">
                  <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Historical_data_entry_1!$AF$90:$AU$90</c:f>
              <c:numCache>
                <c:ptCount val="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yVal>
          <c:smooth val="0"/>
        </c:ser>
        <c:ser>
          <c:idx val="5"/>
          <c:order val="5"/>
          <c:tx>
            <c:strRef>
              <c:f>Historical_data_entry_1!$AE$91</c:f>
              <c:strCache>
                <c:ptCount val="1"/>
                <c:pt idx="0">
                  <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Historical_data_entry_1!$AF$91:$AU$91</c:f>
              <c:numCache>
                <c:ptCount val="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yVal>
          <c:smooth val="0"/>
        </c:ser>
        <c:axId val="5422658"/>
        <c:axId val="48803923"/>
      </c:scatterChart>
      <c:valAx>
        <c:axId val="5422658"/>
        <c:scaling>
          <c:orientation val="minMax"/>
        </c:scaling>
        <c:axPos val="b"/>
        <c:title>
          <c:tx>
            <c:rich>
              <a:bodyPr vert="horz" rot="0" anchor="ctr"/>
              <a:lstStyle/>
              <a:p>
                <a:pPr algn="ctr">
                  <a:defRPr/>
                </a:pPr>
                <a:r>
                  <a:rPr lang="en-US" cap="none" sz="1125" b="1" i="0" u="none" baseline="0">
                    <a:solidFill>
                      <a:srgbClr val="000000"/>
                    </a:solidFill>
                    <a:latin typeface="Times New Roman"/>
                    <a:ea typeface="Times New Roman"/>
                    <a:cs typeface="Times New Roman"/>
                  </a:rPr>
                  <a:t>Projected centerline distance from source, ft</a:t>
                </a:r>
              </a:p>
            </c:rich>
          </c:tx>
          <c:layout>
            <c:manualLayout>
              <c:xMode val="factor"/>
              <c:yMode val="factor"/>
              <c:x val="0"/>
              <c:y val="-0.000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Times New Roman"/>
                <a:ea typeface="Times New Roman"/>
                <a:cs typeface="Times New Roman"/>
              </a:defRPr>
            </a:pPr>
          </a:p>
        </c:txPr>
        <c:crossAx val="48803923"/>
        <c:crossesAt val="0.01"/>
        <c:crossBetween val="midCat"/>
        <c:dispUnits/>
      </c:valAx>
      <c:valAx>
        <c:axId val="48803923"/>
        <c:scaling>
          <c:orientation val="minMax"/>
        </c:scaling>
        <c:axPos val="l"/>
        <c:title>
          <c:tx>
            <c:rich>
              <a:bodyPr vert="horz" rot="-5400000" anchor="ctr"/>
              <a:lstStyle/>
              <a:p>
                <a:pPr algn="ctr">
                  <a:defRPr/>
                </a:pPr>
                <a:r>
                  <a:rPr lang="en-US" cap="none" sz="700" b="1" i="0" u="none" baseline="0">
                    <a:solidFill>
                      <a:srgbClr val="000000"/>
                    </a:solidFill>
                    <a:latin typeface="Times New Roman"/>
                    <a:ea typeface="Times New Roman"/>
                    <a:cs typeface="Times New Roman"/>
                  </a:rPr>
                  <a:t>Conc, ug/L</a:t>
                </a:r>
              </a:p>
            </c:rich>
          </c:tx>
          <c:layout>
            <c:manualLayout>
              <c:xMode val="factor"/>
              <c:yMode val="factor"/>
              <c:x val="0"/>
              <c:y val="0.00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Times New Roman"/>
                <a:ea typeface="Times New Roman"/>
                <a:cs typeface="Times New Roman"/>
              </a:defRPr>
            </a:pPr>
          </a:p>
        </c:txPr>
        <c:crossAx val="5422658"/>
        <c:crosses val="autoZero"/>
        <c:crossBetween val="midCat"/>
        <c:dispUnits/>
      </c:valAx>
      <c:spPr>
        <a:solidFill>
          <a:srgbClr val="C0C0C0"/>
        </a:solidFill>
        <a:ln w="12700">
          <a:solidFill>
            <a:srgbClr val="808080"/>
          </a:solidFill>
        </a:ln>
      </c:spPr>
    </c:plotArea>
    <c:legend>
      <c:legendPos val="r"/>
      <c:layout>
        <c:manualLayout>
          <c:xMode val="edge"/>
          <c:yMode val="edge"/>
          <c:x val="0.747"/>
          <c:y val="0.13575"/>
          <c:w val="0.168"/>
          <c:h val="0.18325"/>
        </c:manualLayout>
      </c:layout>
      <c:overlay val="0"/>
      <c:spPr>
        <a:noFill/>
        <a:ln w="3175">
          <a:noFill/>
        </a:ln>
      </c:spPr>
      <c:txPr>
        <a:bodyPr vert="horz" rot="0"/>
        <a:lstStyle/>
        <a:p>
          <a:pPr>
            <a:defRPr lang="en-US" cap="none" sz="73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075" b="0" i="0" u="none" baseline="0">
          <a:solidFill>
            <a:srgbClr val="000000"/>
          </a:solidFill>
          <a:latin typeface="Times New Roman"/>
          <a:ea typeface="Times New Roman"/>
          <a:cs typeface="Times New Roman"/>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33"/>
          <c:w val="0.88225"/>
          <c:h val="0.845"/>
        </c:manualLayout>
      </c:layout>
      <c:scatterChart>
        <c:scatterStyle val="lineMarker"/>
        <c:varyColors val="0"/>
        <c:ser>
          <c:idx val="0"/>
          <c:order val="0"/>
          <c:tx>
            <c:strRef>
              <c:f>AC_calGeoChemicalIndic!$D$90</c:f>
              <c:strCache>
                <c:ptCount val="1"/>
                <c:pt idx="0">
                  <c:v>Benzene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424242"/>
                </a:solidFill>
              </a:ln>
            </c:spPr>
          </c:marker>
          <c:xVal>
            <c:numRef>
              <c:f>AC_calGeoChemicalIndic!$E$89:$P$89</c:f>
              <c:numCache/>
            </c:numRef>
          </c:xVal>
          <c:yVal>
            <c:numRef>
              <c:f>AC_calGeoChemicalIndic!$E$90:$P$90</c:f>
              <c:numCache/>
            </c:numRef>
          </c:yVal>
          <c:smooth val="0"/>
        </c:ser>
        <c:axId val="36582124"/>
        <c:axId val="60803661"/>
      </c:scatterChart>
      <c:scatterChart>
        <c:scatterStyle val="lineMarker"/>
        <c:varyColors val="0"/>
        <c:ser>
          <c:idx val="1"/>
          <c:order val="1"/>
          <c:tx>
            <c:strRef>
              <c:f>AC_calGeoChemicalIndic!$D$91</c:f>
              <c:strCache>
                <c:ptCount val="1"/>
                <c:pt idx="0">
                  <c:v>Manganese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000080"/>
                </a:solidFill>
              </a:ln>
            </c:spPr>
          </c:marker>
          <c:xVal>
            <c:numRef>
              <c:f>AC_calGeoChemicalIndic!$E$89:$P$89</c:f>
              <c:numCache/>
            </c:numRef>
          </c:xVal>
          <c:yVal>
            <c:numRef>
              <c:f>AC_calGeoChemicalIndic!$E$91:$M$91</c:f>
              <c:numCache/>
            </c:numRef>
          </c:yVal>
          <c:smooth val="0"/>
        </c:ser>
        <c:ser>
          <c:idx val="2"/>
          <c:order val="2"/>
          <c:tx>
            <c:strRef>
              <c:f>AC_calGeoChemicalIndic!$D$92</c:f>
              <c:strCache>
                <c:ptCount val="1"/>
                <c:pt idx="0">
                  <c:v>Dissolved Oxygen</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0000"/>
                </a:solidFill>
              </a:ln>
            </c:spPr>
          </c:marker>
          <c:xVal>
            <c:numRef>
              <c:f>AC_calGeoChemicalIndic!$E$89:$P$89</c:f>
              <c:numCache/>
            </c:numRef>
          </c:xVal>
          <c:yVal>
            <c:numRef>
              <c:f>AC_calGeoChemicalIndic!$E$92:$P$92</c:f>
              <c:numCache/>
            </c:numRef>
          </c:yVal>
          <c:smooth val="0"/>
        </c:ser>
        <c:axId val="10362038"/>
        <c:axId val="26149479"/>
      </c:scatterChart>
      <c:valAx>
        <c:axId val="36582124"/>
        <c:scaling>
          <c:orientation val="minMax"/>
        </c:scaling>
        <c:axPos val="b"/>
        <c:title>
          <c:tx>
            <c:rich>
              <a:bodyPr vert="horz" rot="0" anchor="ctr"/>
              <a:lstStyle/>
              <a:p>
                <a:pPr algn="ctr">
                  <a:defRPr/>
                </a:pPr>
                <a:r>
                  <a:rPr lang="en-US" cap="none" sz="800" b="1" i="0" u="none" baseline="0">
                    <a:solidFill>
                      <a:srgbClr val="000000"/>
                    </a:solidFill>
                    <a:latin typeface="Times New Roman"/>
                    <a:ea typeface="Times New Roman"/>
                    <a:cs typeface="Times New Roman"/>
                  </a:rPr>
                  <a:t>Centerline distance from the source, ft</a:t>
                </a:r>
              </a:p>
            </c:rich>
          </c:tx>
          <c:layout>
            <c:manualLayout>
              <c:xMode val="factor"/>
              <c:yMode val="factor"/>
              <c:x val="0"/>
              <c:y val="0.002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0803661"/>
        <c:crosses val="autoZero"/>
        <c:crossBetween val="midCat"/>
        <c:dispUnits/>
      </c:valAx>
      <c:valAx>
        <c:axId val="60803661"/>
        <c:scaling>
          <c:orientation val="minMax"/>
        </c:scaling>
        <c:axPos val="l"/>
        <c:title>
          <c:tx>
            <c:rich>
              <a:bodyPr vert="horz" rot="-5400000" anchor="ctr"/>
              <a:lstStyle/>
              <a:p>
                <a:pPr algn="ctr">
                  <a:defRPr/>
                </a:pPr>
                <a:r>
                  <a:rPr lang="en-US" cap="none" sz="675" b="0" i="0" u="none" baseline="0">
                    <a:solidFill>
                      <a:srgbClr val="000000"/>
                    </a:solidFill>
                    <a:latin typeface="Times New Roman"/>
                    <a:ea typeface="Times New Roman"/>
                    <a:cs typeface="Times New Roman"/>
                  </a:rPr>
                  <a:t>Contaminant Conc, ug/L</a:t>
                </a:r>
              </a:p>
            </c:rich>
          </c:tx>
          <c:layout>
            <c:manualLayout>
              <c:xMode val="factor"/>
              <c:yMode val="factor"/>
              <c:x val="-0.0035"/>
              <c:y val="0.008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582124"/>
        <c:crossesAt val="-100"/>
        <c:crossBetween val="midCat"/>
        <c:dispUnits/>
      </c:valAx>
      <c:valAx>
        <c:axId val="10362038"/>
        <c:scaling>
          <c:orientation val="minMax"/>
        </c:scaling>
        <c:axPos val="b"/>
        <c:delete val="1"/>
        <c:majorTickMark val="out"/>
        <c:minorTickMark val="none"/>
        <c:tickLblPos val="nextTo"/>
        <c:crossAx val="26149479"/>
        <c:crossesAt val="-10"/>
        <c:crossBetween val="midCat"/>
        <c:dispUnits/>
      </c:valAx>
      <c:valAx>
        <c:axId val="26149479"/>
        <c:scaling>
          <c:orientation val="minMax"/>
        </c:scaling>
        <c:axPos val="l"/>
        <c:title>
          <c:tx>
            <c:rich>
              <a:bodyPr vert="horz" rot="-5400000" anchor="ctr"/>
              <a:lstStyle/>
              <a:p>
                <a:pPr algn="ctr">
                  <a:defRPr/>
                </a:pPr>
                <a:r>
                  <a:rPr lang="en-US" cap="none" sz="600" b="0" i="0" u="none" baseline="0">
                    <a:solidFill>
                      <a:srgbClr val="000000"/>
                    </a:solidFill>
                    <a:latin typeface="Times New Roman"/>
                    <a:ea typeface="Times New Roman"/>
                    <a:cs typeface="Times New Roman"/>
                  </a:rPr>
                  <a:t>Geochemical Parameters, mg/L, mV</a:t>
                </a:r>
              </a:p>
            </c:rich>
          </c:tx>
          <c:layout>
            <c:manualLayout>
              <c:xMode val="factor"/>
              <c:yMode val="factor"/>
              <c:x val="-0.004"/>
              <c:y val="0.013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0362038"/>
        <c:crosses val="max"/>
        <c:crossBetween val="midCat"/>
        <c:dispUnits/>
      </c:valAx>
      <c:spPr>
        <a:solidFill>
          <a:srgbClr val="C0C0C0"/>
        </a:solidFill>
        <a:ln w="12700">
          <a:solidFill>
            <a:srgbClr val="808080"/>
          </a:solidFill>
        </a:ln>
      </c:spPr>
    </c:plotArea>
    <c:legend>
      <c:legendPos val="r"/>
      <c:layout>
        <c:manualLayout>
          <c:xMode val="edge"/>
          <c:yMode val="edge"/>
          <c:x val="0.51275"/>
          <c:y val="0.08475"/>
          <c:w val="0.1875"/>
          <c:h val="0.1815"/>
        </c:manualLayout>
      </c:layout>
      <c:overlay val="0"/>
      <c:spPr>
        <a:noFill/>
        <a:ln w="3175">
          <a:noFill/>
        </a:ln>
      </c:spPr>
      <c:txPr>
        <a:bodyPr vert="horz" rot="0"/>
        <a:lstStyle/>
        <a:p>
          <a:pPr>
            <a:defRPr lang="en-US" cap="none" sz="920" b="0" i="0" u="none" baseline="0">
              <a:solidFill>
                <a:srgbClr val="000000"/>
              </a:solidFill>
              <a:latin typeface="Times New Roman"/>
              <a:ea typeface="Times New Roman"/>
              <a:cs typeface="Times New Roman"/>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3.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xdr:row>
      <xdr:rowOff>0</xdr:rowOff>
    </xdr:from>
    <xdr:ext cx="2428875" cy="171450"/>
    <xdr:sp>
      <xdr:nvSpPr>
        <xdr:cNvPr id="1" name="TextBox 9"/>
        <xdr:cNvSpPr txBox="1">
          <a:spLocks noChangeArrowheads="1"/>
        </xdr:cNvSpPr>
      </xdr:nvSpPr>
      <xdr:spPr>
        <a:xfrm>
          <a:off x="142875" y="228600"/>
          <a:ext cx="242887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Package A: Natural Attenuation Analysis Tool Navigator
Natural Attenuation Analysis Tool Navigator: </a:t>
          </a:r>
          <a:r>
            <a:rPr lang="en-US" cap="none" sz="900" b="0" i="1" u="none" baseline="0">
              <a:solidFill>
                <a:srgbClr val="996633"/>
              </a:solidFill>
              <a:latin typeface="Arial"/>
              <a:ea typeface="Arial"/>
              <a:cs typeface="Arial"/>
            </a:rPr>
            <a:t>Select Button for Desired Calculation Sequentially</a:t>
          </a:r>
        </a:p>
      </xdr:txBody>
    </xdr:sp>
    <xdr:clientData/>
  </xdr:oneCellAnchor>
  <xdr:oneCellAnchor>
    <xdr:from>
      <xdr:col>15</xdr:col>
      <xdr:colOff>0</xdr:colOff>
      <xdr:row>9</xdr:row>
      <xdr:rowOff>0</xdr:rowOff>
    </xdr:from>
    <xdr:ext cx="904875" cy="342900"/>
    <xdr:sp>
      <xdr:nvSpPr>
        <xdr:cNvPr id="2" name="TextBox 24"/>
        <xdr:cNvSpPr txBox="1">
          <a:spLocks noChangeArrowheads="1"/>
        </xdr:cNvSpPr>
      </xdr:nvSpPr>
      <xdr:spPr>
        <a:xfrm>
          <a:off x="714375" y="514350"/>
          <a:ext cx="904875" cy="342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latin typeface="Times New Roman"/>
              <a:ea typeface="Times New Roman"/>
              <a:cs typeface="Times New Roman"/>
            </a:rPr>
            <a:t>Non-Parametric Analysis for Plume Stability</a:t>
          </a:r>
        </a:p>
      </xdr:txBody>
    </xdr:sp>
    <xdr:clientData/>
  </xdr:oneCellAnchor>
  <xdr:twoCellAnchor>
    <xdr:from>
      <xdr:col>63</xdr:col>
      <xdr:colOff>0</xdr:colOff>
      <xdr:row>23</xdr:row>
      <xdr:rowOff>0</xdr:rowOff>
    </xdr:from>
    <xdr:to>
      <xdr:col>63</xdr:col>
      <xdr:colOff>0</xdr:colOff>
      <xdr:row>25</xdr:row>
      <xdr:rowOff>0</xdr:rowOff>
    </xdr:to>
    <xdr:sp>
      <xdr:nvSpPr>
        <xdr:cNvPr id="3" name="Line 29"/>
        <xdr:cNvSpPr>
          <a:spLocks/>
        </xdr:cNvSpPr>
      </xdr:nvSpPr>
      <xdr:spPr>
        <a:xfrm>
          <a:off x="3000375" y="1314450"/>
          <a:ext cx="0" cy="1143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25</xdr:row>
      <xdr:rowOff>0</xdr:rowOff>
    </xdr:from>
    <xdr:to>
      <xdr:col>33</xdr:col>
      <xdr:colOff>0</xdr:colOff>
      <xdr:row>27</xdr:row>
      <xdr:rowOff>0</xdr:rowOff>
    </xdr:to>
    <xdr:sp>
      <xdr:nvSpPr>
        <xdr:cNvPr id="4" name="Line 35"/>
        <xdr:cNvSpPr>
          <a:spLocks/>
        </xdr:cNvSpPr>
      </xdr:nvSpPr>
      <xdr:spPr>
        <a:xfrm>
          <a:off x="1571625" y="1428750"/>
          <a:ext cx="0" cy="1143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46</xdr:col>
      <xdr:colOff>28575</xdr:colOff>
      <xdr:row>21</xdr:row>
      <xdr:rowOff>0</xdr:rowOff>
    </xdr:from>
    <xdr:to>
      <xdr:col>50</xdr:col>
      <xdr:colOff>0</xdr:colOff>
      <xdr:row>21</xdr:row>
      <xdr:rowOff>0</xdr:rowOff>
    </xdr:to>
    <xdr:sp>
      <xdr:nvSpPr>
        <xdr:cNvPr id="5" name="Line 43"/>
        <xdr:cNvSpPr>
          <a:spLocks/>
        </xdr:cNvSpPr>
      </xdr:nvSpPr>
      <xdr:spPr>
        <a:xfrm>
          <a:off x="2219325" y="1200150"/>
          <a:ext cx="16192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34</xdr:col>
      <xdr:colOff>0</xdr:colOff>
      <xdr:row>12</xdr:row>
      <xdr:rowOff>0</xdr:rowOff>
    </xdr:from>
    <xdr:to>
      <xdr:col>38</xdr:col>
      <xdr:colOff>0</xdr:colOff>
      <xdr:row>12</xdr:row>
      <xdr:rowOff>0</xdr:rowOff>
    </xdr:to>
    <xdr:sp>
      <xdr:nvSpPr>
        <xdr:cNvPr id="6" name="Line 44"/>
        <xdr:cNvSpPr>
          <a:spLocks/>
        </xdr:cNvSpPr>
      </xdr:nvSpPr>
      <xdr:spPr>
        <a:xfrm>
          <a:off x="1619250" y="6858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38</xdr:col>
      <xdr:colOff>0</xdr:colOff>
      <xdr:row>10</xdr:row>
      <xdr:rowOff>0</xdr:rowOff>
    </xdr:from>
    <xdr:to>
      <xdr:col>38</xdr:col>
      <xdr:colOff>0</xdr:colOff>
      <xdr:row>14</xdr:row>
      <xdr:rowOff>0</xdr:rowOff>
    </xdr:to>
    <xdr:sp>
      <xdr:nvSpPr>
        <xdr:cNvPr id="7" name="Line 45"/>
        <xdr:cNvSpPr>
          <a:spLocks/>
        </xdr:cNvSpPr>
      </xdr:nvSpPr>
      <xdr:spPr>
        <a:xfrm>
          <a:off x="1809750" y="571500"/>
          <a:ext cx="0" cy="228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38</xdr:col>
      <xdr:colOff>0</xdr:colOff>
      <xdr:row>10</xdr:row>
      <xdr:rowOff>0</xdr:rowOff>
    </xdr:from>
    <xdr:to>
      <xdr:col>42</xdr:col>
      <xdr:colOff>0</xdr:colOff>
      <xdr:row>10</xdr:row>
      <xdr:rowOff>0</xdr:rowOff>
    </xdr:to>
    <xdr:sp>
      <xdr:nvSpPr>
        <xdr:cNvPr id="8" name="Line 46"/>
        <xdr:cNvSpPr>
          <a:spLocks/>
        </xdr:cNvSpPr>
      </xdr:nvSpPr>
      <xdr:spPr>
        <a:xfrm>
          <a:off x="1809750" y="571500"/>
          <a:ext cx="1905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38</xdr:col>
      <xdr:colOff>0</xdr:colOff>
      <xdr:row>14</xdr:row>
      <xdr:rowOff>0</xdr:rowOff>
    </xdr:from>
    <xdr:to>
      <xdr:col>42</xdr:col>
      <xdr:colOff>0</xdr:colOff>
      <xdr:row>14</xdr:row>
      <xdr:rowOff>0</xdr:rowOff>
    </xdr:to>
    <xdr:sp>
      <xdr:nvSpPr>
        <xdr:cNvPr id="9" name="Line 47"/>
        <xdr:cNvSpPr>
          <a:spLocks/>
        </xdr:cNvSpPr>
      </xdr:nvSpPr>
      <xdr:spPr>
        <a:xfrm>
          <a:off x="1809750" y="800100"/>
          <a:ext cx="1905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15</xdr:col>
      <xdr:colOff>0</xdr:colOff>
      <xdr:row>18</xdr:row>
      <xdr:rowOff>0</xdr:rowOff>
    </xdr:from>
    <xdr:ext cx="1524000" cy="342900"/>
    <xdr:sp>
      <xdr:nvSpPr>
        <xdr:cNvPr id="10" name="TextBox 61"/>
        <xdr:cNvSpPr txBox="1">
          <a:spLocks noChangeArrowheads="1"/>
        </xdr:cNvSpPr>
      </xdr:nvSpPr>
      <xdr:spPr>
        <a:xfrm>
          <a:off x="714375" y="1028700"/>
          <a:ext cx="1524000" cy="342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latin typeface="Times New Roman"/>
              <a:ea typeface="Times New Roman"/>
              <a:cs typeface="Times New Roman"/>
            </a:rPr>
            <a:t>Graphical and Regression Analysis: Plume Stability &amp; Restoration Time Calculation</a:t>
          </a:r>
        </a:p>
      </xdr:txBody>
    </xdr:sp>
    <xdr:clientData/>
  </xdr:oneCellAnchor>
  <xdr:twoCellAnchor>
    <xdr:from>
      <xdr:col>70</xdr:col>
      <xdr:colOff>38100</xdr:colOff>
      <xdr:row>25</xdr:row>
      <xdr:rowOff>0</xdr:rowOff>
    </xdr:from>
    <xdr:to>
      <xdr:col>70</xdr:col>
      <xdr:colOff>38100</xdr:colOff>
      <xdr:row>27</xdr:row>
      <xdr:rowOff>0</xdr:rowOff>
    </xdr:to>
    <xdr:sp>
      <xdr:nvSpPr>
        <xdr:cNvPr id="11" name="Line 63"/>
        <xdr:cNvSpPr>
          <a:spLocks/>
        </xdr:cNvSpPr>
      </xdr:nvSpPr>
      <xdr:spPr>
        <a:xfrm>
          <a:off x="3371850" y="1428750"/>
          <a:ext cx="0" cy="1143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15</xdr:col>
      <xdr:colOff>0</xdr:colOff>
      <xdr:row>34</xdr:row>
      <xdr:rowOff>0</xdr:rowOff>
    </xdr:from>
    <xdr:ext cx="1095375" cy="228600"/>
    <xdr:sp>
      <xdr:nvSpPr>
        <xdr:cNvPr id="12" name="TextBox 64"/>
        <xdr:cNvSpPr txBox="1">
          <a:spLocks noChangeArrowheads="1"/>
        </xdr:cNvSpPr>
      </xdr:nvSpPr>
      <xdr:spPr>
        <a:xfrm>
          <a:off x="714375" y="1943100"/>
          <a:ext cx="1095375" cy="2286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latin typeface="Times New Roman"/>
              <a:ea typeface="Times New Roman"/>
              <a:cs typeface="Times New Roman"/>
            </a:rPr>
            <a:t>Gechemical Indicator Analysis</a:t>
          </a:r>
        </a:p>
      </xdr:txBody>
    </xdr:sp>
    <xdr:clientData/>
  </xdr:oneCellAnchor>
  <xdr:twoCellAnchor>
    <xdr:from>
      <xdr:col>38</xdr:col>
      <xdr:colOff>0</xdr:colOff>
      <xdr:row>36</xdr:row>
      <xdr:rowOff>0</xdr:rowOff>
    </xdr:from>
    <xdr:to>
      <xdr:col>42</xdr:col>
      <xdr:colOff>0</xdr:colOff>
      <xdr:row>36</xdr:row>
      <xdr:rowOff>0</xdr:rowOff>
    </xdr:to>
    <xdr:sp>
      <xdr:nvSpPr>
        <xdr:cNvPr id="13" name="Line 65"/>
        <xdr:cNvSpPr>
          <a:spLocks/>
        </xdr:cNvSpPr>
      </xdr:nvSpPr>
      <xdr:spPr>
        <a:xfrm>
          <a:off x="1809750" y="2057400"/>
          <a:ext cx="1905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49</xdr:col>
      <xdr:colOff>0</xdr:colOff>
      <xdr:row>29</xdr:row>
      <xdr:rowOff>0</xdr:rowOff>
    </xdr:from>
    <xdr:to>
      <xdr:col>53</xdr:col>
      <xdr:colOff>0</xdr:colOff>
      <xdr:row>29</xdr:row>
      <xdr:rowOff>0</xdr:rowOff>
    </xdr:to>
    <xdr:sp>
      <xdr:nvSpPr>
        <xdr:cNvPr id="14" name="Line 71"/>
        <xdr:cNvSpPr>
          <a:spLocks/>
        </xdr:cNvSpPr>
      </xdr:nvSpPr>
      <xdr:spPr>
        <a:xfrm>
          <a:off x="2333625" y="1657350"/>
          <a:ext cx="190500" cy="0"/>
        </a:xfrm>
        <a:prstGeom prst="line">
          <a:avLst/>
        </a:prstGeom>
        <a:noFill/>
        <a:ln w="317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62</xdr:col>
      <xdr:colOff>0</xdr:colOff>
      <xdr:row>41</xdr:row>
      <xdr:rowOff>0</xdr:rowOff>
    </xdr:from>
    <xdr:to>
      <xdr:col>68</xdr:col>
      <xdr:colOff>0</xdr:colOff>
      <xdr:row>41</xdr:row>
      <xdr:rowOff>0</xdr:rowOff>
    </xdr:to>
    <xdr:sp>
      <xdr:nvSpPr>
        <xdr:cNvPr id="15" name="Line 73"/>
        <xdr:cNvSpPr>
          <a:spLocks/>
        </xdr:cNvSpPr>
      </xdr:nvSpPr>
      <xdr:spPr>
        <a:xfrm>
          <a:off x="2952750" y="2343150"/>
          <a:ext cx="2857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25</xdr:row>
      <xdr:rowOff>0</xdr:rowOff>
    </xdr:from>
    <xdr:to>
      <xdr:col>70</xdr:col>
      <xdr:colOff>38100</xdr:colOff>
      <xdr:row>25</xdr:row>
      <xdr:rowOff>0</xdr:rowOff>
    </xdr:to>
    <xdr:sp>
      <xdr:nvSpPr>
        <xdr:cNvPr id="16" name="Line 74"/>
        <xdr:cNvSpPr>
          <a:spLocks/>
        </xdr:cNvSpPr>
      </xdr:nvSpPr>
      <xdr:spPr>
        <a:xfrm>
          <a:off x="1571625" y="1428750"/>
          <a:ext cx="18002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8</xdr:col>
      <xdr:colOff>0</xdr:colOff>
      <xdr:row>47</xdr:row>
      <xdr:rowOff>47625</xdr:rowOff>
    </xdr:from>
    <xdr:ext cx="4095750" cy="123825"/>
    <xdr:sp>
      <xdr:nvSpPr>
        <xdr:cNvPr id="17" name="TextBox 76"/>
        <xdr:cNvSpPr txBox="1">
          <a:spLocks noChangeArrowheads="1"/>
        </xdr:cNvSpPr>
      </xdr:nvSpPr>
      <xdr:spPr>
        <a:xfrm>
          <a:off x="381000" y="2733675"/>
          <a:ext cx="4095750" cy="123825"/>
        </a:xfrm>
        <a:prstGeom prst="rect">
          <a:avLst/>
        </a:prstGeom>
        <a:noFill/>
        <a:ln w="3175" cmpd="sng">
          <a:noFill/>
        </a:ln>
      </xdr:spPr>
      <xdr:txBody>
        <a:bodyPr vertOverflow="clip" wrap="square"/>
        <a:p>
          <a:pPr algn="l">
            <a:defRPr/>
          </a:pPr>
          <a:r>
            <a:rPr lang="en-US" cap="none" sz="800" b="1" i="1" u="none" baseline="0">
              <a:solidFill>
                <a:srgbClr val="FF0000"/>
              </a:solidFill>
            </a:rPr>
            <a:t>Note: If no data leave blank in the data entry; unit of contaminant's Groundwater concentration is ug/L.</a:t>
          </a:r>
        </a:p>
      </xdr:txBody>
    </xdr:sp>
    <xdr:clientData/>
  </xdr:oneCellAnchor>
  <xdr:oneCellAnchor>
    <xdr:from>
      <xdr:col>3</xdr:col>
      <xdr:colOff>0</xdr:colOff>
      <xdr:row>9</xdr:row>
      <xdr:rowOff>47625</xdr:rowOff>
    </xdr:from>
    <xdr:ext cx="476250" cy="238125"/>
    <xdr:sp>
      <xdr:nvSpPr>
        <xdr:cNvPr id="18" name="TextBox 78"/>
        <xdr:cNvSpPr txBox="1">
          <a:spLocks noChangeArrowheads="1"/>
        </xdr:cNvSpPr>
      </xdr:nvSpPr>
      <xdr:spPr>
        <a:xfrm>
          <a:off x="142875" y="561975"/>
          <a:ext cx="4762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1</a:t>
          </a:r>
        </a:p>
      </xdr:txBody>
    </xdr:sp>
    <xdr:clientData/>
  </xdr:oneCellAnchor>
  <xdr:twoCellAnchor>
    <xdr:from>
      <xdr:col>13</xdr:col>
      <xdr:colOff>0</xdr:colOff>
      <xdr:row>12</xdr:row>
      <xdr:rowOff>0</xdr:rowOff>
    </xdr:from>
    <xdr:to>
      <xdr:col>15</xdr:col>
      <xdr:colOff>0</xdr:colOff>
      <xdr:row>12</xdr:row>
      <xdr:rowOff>0</xdr:rowOff>
    </xdr:to>
    <xdr:sp>
      <xdr:nvSpPr>
        <xdr:cNvPr id="19" name="Line 80"/>
        <xdr:cNvSpPr>
          <a:spLocks/>
        </xdr:cNvSpPr>
      </xdr:nvSpPr>
      <xdr:spPr>
        <a:xfrm>
          <a:off x="619125" y="685800"/>
          <a:ext cx="952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twoCellAnchor>
  <xdr:oneCellAnchor>
    <xdr:from>
      <xdr:col>3</xdr:col>
      <xdr:colOff>0</xdr:colOff>
      <xdr:row>19</xdr:row>
      <xdr:rowOff>0</xdr:rowOff>
    </xdr:from>
    <xdr:ext cx="476250" cy="228600"/>
    <xdr:sp>
      <xdr:nvSpPr>
        <xdr:cNvPr id="20" name="TextBox 81"/>
        <xdr:cNvSpPr txBox="1">
          <a:spLocks noChangeArrowheads="1"/>
        </xdr:cNvSpPr>
      </xdr:nvSpPr>
      <xdr:spPr>
        <a:xfrm>
          <a:off x="142875" y="1085850"/>
          <a:ext cx="476250" cy="228600"/>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2</a:t>
          </a:r>
        </a:p>
      </xdr:txBody>
    </xdr:sp>
    <xdr:clientData/>
  </xdr:oneCellAnchor>
  <xdr:oneCellAnchor>
    <xdr:from>
      <xdr:col>3</xdr:col>
      <xdr:colOff>0</xdr:colOff>
      <xdr:row>34</xdr:row>
      <xdr:rowOff>0</xdr:rowOff>
    </xdr:from>
    <xdr:ext cx="476250" cy="228600"/>
    <xdr:sp>
      <xdr:nvSpPr>
        <xdr:cNvPr id="21" name="TextBox 82"/>
        <xdr:cNvSpPr txBox="1">
          <a:spLocks noChangeArrowheads="1"/>
        </xdr:cNvSpPr>
      </xdr:nvSpPr>
      <xdr:spPr>
        <a:xfrm>
          <a:off x="142875" y="1943100"/>
          <a:ext cx="476250" cy="228600"/>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3</a:t>
          </a:r>
        </a:p>
      </xdr:txBody>
    </xdr:sp>
    <xdr:clientData/>
  </xdr:oneCellAnchor>
  <xdr:twoCellAnchor>
    <xdr:from>
      <xdr:col>13</xdr:col>
      <xdr:colOff>0</xdr:colOff>
      <xdr:row>36</xdr:row>
      <xdr:rowOff>0</xdr:rowOff>
    </xdr:from>
    <xdr:to>
      <xdr:col>15</xdr:col>
      <xdr:colOff>0</xdr:colOff>
      <xdr:row>36</xdr:row>
      <xdr:rowOff>0</xdr:rowOff>
    </xdr:to>
    <xdr:sp>
      <xdr:nvSpPr>
        <xdr:cNvPr id="22" name="Line 83"/>
        <xdr:cNvSpPr>
          <a:spLocks/>
        </xdr:cNvSpPr>
      </xdr:nvSpPr>
      <xdr:spPr>
        <a:xfrm>
          <a:off x="619125" y="2057400"/>
          <a:ext cx="952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twoCellAnchor>
  <xdr:twoCellAnchor>
    <xdr:from>
      <xdr:col>13</xdr:col>
      <xdr:colOff>0</xdr:colOff>
      <xdr:row>21</xdr:row>
      <xdr:rowOff>0</xdr:rowOff>
    </xdr:from>
    <xdr:to>
      <xdr:col>15</xdr:col>
      <xdr:colOff>0</xdr:colOff>
      <xdr:row>21</xdr:row>
      <xdr:rowOff>0</xdr:rowOff>
    </xdr:to>
    <xdr:sp>
      <xdr:nvSpPr>
        <xdr:cNvPr id="23" name="Line 84"/>
        <xdr:cNvSpPr>
          <a:spLocks/>
        </xdr:cNvSpPr>
      </xdr:nvSpPr>
      <xdr:spPr>
        <a:xfrm>
          <a:off x="619125" y="1200150"/>
          <a:ext cx="952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twoCellAnchor>
  <xdr:twoCellAnchor>
    <xdr:from>
      <xdr:col>62</xdr:col>
      <xdr:colOff>0</xdr:colOff>
      <xdr:row>38</xdr:row>
      <xdr:rowOff>0</xdr:rowOff>
    </xdr:from>
    <xdr:to>
      <xdr:col>62</xdr:col>
      <xdr:colOff>0</xdr:colOff>
      <xdr:row>41</xdr:row>
      <xdr:rowOff>0</xdr:rowOff>
    </xdr:to>
    <xdr:sp>
      <xdr:nvSpPr>
        <xdr:cNvPr id="24" name="Line 86"/>
        <xdr:cNvSpPr>
          <a:spLocks/>
        </xdr:cNvSpPr>
      </xdr:nvSpPr>
      <xdr:spPr>
        <a:xfrm flipV="1">
          <a:off x="2952750" y="2171700"/>
          <a:ext cx="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69</xdr:col>
      <xdr:colOff>0</xdr:colOff>
      <xdr:row>10</xdr:row>
      <xdr:rowOff>0</xdr:rowOff>
    </xdr:from>
    <xdr:to>
      <xdr:col>73</xdr:col>
      <xdr:colOff>0</xdr:colOff>
      <xdr:row>10</xdr:row>
      <xdr:rowOff>9525</xdr:rowOff>
    </xdr:to>
    <xdr:sp>
      <xdr:nvSpPr>
        <xdr:cNvPr id="25" name="Line 87"/>
        <xdr:cNvSpPr>
          <a:spLocks/>
        </xdr:cNvSpPr>
      </xdr:nvSpPr>
      <xdr:spPr>
        <a:xfrm flipV="1">
          <a:off x="3286125" y="571500"/>
          <a:ext cx="190500" cy="952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58</xdr:col>
      <xdr:colOff>38100</xdr:colOff>
      <xdr:row>4</xdr:row>
      <xdr:rowOff>19050</xdr:rowOff>
    </xdr:from>
    <xdr:ext cx="1476375" cy="152400"/>
    <xdr:sp>
      <xdr:nvSpPr>
        <xdr:cNvPr id="26" name="TextBox 88"/>
        <xdr:cNvSpPr txBox="1">
          <a:spLocks noChangeArrowheads="1"/>
        </xdr:cNvSpPr>
      </xdr:nvSpPr>
      <xdr:spPr>
        <a:xfrm>
          <a:off x="2800350" y="247650"/>
          <a:ext cx="1476375" cy="152400"/>
        </a:xfrm>
        <a:prstGeom prst="rect">
          <a:avLst/>
        </a:prstGeom>
        <a:noFill/>
        <a:ln w="3175" cmpd="sng">
          <a:noFill/>
        </a:ln>
      </xdr:spPr>
      <xdr:txBody>
        <a:bodyPr vertOverflow="clip" wrap="square">
          <a:spAutoFit/>
        </a:bodyPr>
        <a:p>
          <a:pPr algn="l">
            <a:defRPr/>
          </a:pPr>
          <a:r>
            <a:rPr lang="en-US" cap="none" sz="800" b="0" i="1" u="none" baseline="0">
              <a:solidFill>
                <a:srgbClr val="FF0000"/>
              </a:solidFill>
              <a:latin typeface="Times New Roman"/>
              <a:ea typeface="Times New Roman"/>
              <a:cs typeface="Times New Roman"/>
            </a:rPr>
            <a:t>Note: Modules are not linked to each other.</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xdr:row>
      <xdr:rowOff>47625</xdr:rowOff>
    </xdr:from>
    <xdr:to>
      <xdr:col>9</xdr:col>
      <xdr:colOff>333375</xdr:colOff>
      <xdr:row>35</xdr:row>
      <xdr:rowOff>447675</xdr:rowOff>
    </xdr:to>
    <xdr:graphicFrame>
      <xdr:nvGraphicFramePr>
        <xdr:cNvPr id="1" name="Chart 9"/>
        <xdr:cNvGraphicFramePr/>
      </xdr:nvGraphicFramePr>
      <xdr:xfrm>
        <a:off x="47625" y="2162175"/>
        <a:ext cx="4286250" cy="3305175"/>
      </xdr:xfrm>
      <a:graphic>
        <a:graphicData uri="http://schemas.openxmlformats.org/drawingml/2006/chart">
          <c:chart xmlns:c="http://schemas.openxmlformats.org/drawingml/2006/chart" r:id="rId1"/>
        </a:graphicData>
      </a:graphic>
    </xdr:graphicFrame>
    <xdr:clientData/>
  </xdr:twoCellAnchor>
  <xdr:twoCellAnchor>
    <xdr:from>
      <xdr:col>9</xdr:col>
      <xdr:colOff>400050</xdr:colOff>
      <xdr:row>16</xdr:row>
      <xdr:rowOff>38100</xdr:rowOff>
    </xdr:from>
    <xdr:to>
      <xdr:col>13</xdr:col>
      <xdr:colOff>1390650</xdr:colOff>
      <xdr:row>35</xdr:row>
      <xdr:rowOff>447675</xdr:rowOff>
    </xdr:to>
    <xdr:graphicFrame>
      <xdr:nvGraphicFramePr>
        <xdr:cNvPr id="2" name="Chart 28"/>
        <xdr:cNvGraphicFramePr/>
      </xdr:nvGraphicFramePr>
      <xdr:xfrm>
        <a:off x="4400550" y="2152650"/>
        <a:ext cx="3095625" cy="33147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44</xdr:row>
      <xdr:rowOff>28575</xdr:rowOff>
    </xdr:from>
    <xdr:to>
      <xdr:col>8</xdr:col>
      <xdr:colOff>76200</xdr:colOff>
      <xdr:row>65</xdr:row>
      <xdr:rowOff>142875</xdr:rowOff>
    </xdr:to>
    <xdr:graphicFrame>
      <xdr:nvGraphicFramePr>
        <xdr:cNvPr id="3" name="Chart 90"/>
        <xdr:cNvGraphicFramePr/>
      </xdr:nvGraphicFramePr>
      <xdr:xfrm>
        <a:off x="47625" y="6819900"/>
        <a:ext cx="3600450" cy="3514725"/>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44</xdr:row>
      <xdr:rowOff>19050</xdr:rowOff>
    </xdr:from>
    <xdr:to>
      <xdr:col>13</xdr:col>
      <xdr:colOff>1371600</xdr:colOff>
      <xdr:row>65</xdr:row>
      <xdr:rowOff>123825</xdr:rowOff>
    </xdr:to>
    <xdr:graphicFrame>
      <xdr:nvGraphicFramePr>
        <xdr:cNvPr id="4" name="Chart 126"/>
        <xdr:cNvGraphicFramePr/>
      </xdr:nvGraphicFramePr>
      <xdr:xfrm>
        <a:off x="3733800" y="6810375"/>
        <a:ext cx="3743325" cy="3505200"/>
      </xdr:xfrm>
      <a:graphic>
        <a:graphicData uri="http://schemas.openxmlformats.org/drawingml/2006/chart">
          <c:chart xmlns:c="http://schemas.openxmlformats.org/drawingml/2006/chart" r:id="rId4"/>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19050</xdr:rowOff>
    </xdr:from>
    <xdr:to>
      <xdr:col>3</xdr:col>
      <xdr:colOff>466725</xdr:colOff>
      <xdr:row>1</xdr:row>
      <xdr:rowOff>0</xdr:rowOff>
    </xdr:to>
    <xdr:grpSp>
      <xdr:nvGrpSpPr>
        <xdr:cNvPr id="1" name="Group 17"/>
        <xdr:cNvGrpSpPr>
          <a:grpSpLocks/>
        </xdr:cNvGrpSpPr>
      </xdr:nvGrpSpPr>
      <xdr:grpSpPr>
        <a:xfrm>
          <a:off x="581025" y="19050"/>
          <a:ext cx="1400175" cy="276225"/>
          <a:chOff x="92" y="3"/>
          <a:chExt cx="222" cy="36"/>
        </a:xfrm>
        <a:solidFill>
          <a:srgbClr val="FFFFFF"/>
        </a:solidFill>
      </xdr:grpSpPr>
    </xdr:grpSp>
    <xdr:clientData/>
  </xdr:twoCellAnchor>
  <xdr:twoCellAnchor>
    <xdr:from>
      <xdr:col>0</xdr:col>
      <xdr:colOff>123825</xdr:colOff>
      <xdr:row>28</xdr:row>
      <xdr:rowOff>66675</xdr:rowOff>
    </xdr:from>
    <xdr:to>
      <xdr:col>2</xdr:col>
      <xdr:colOff>323850</xdr:colOff>
      <xdr:row>29</xdr:row>
      <xdr:rowOff>152400</xdr:rowOff>
    </xdr:to>
    <xdr:grpSp>
      <xdr:nvGrpSpPr>
        <xdr:cNvPr id="5" name="Group 18"/>
        <xdr:cNvGrpSpPr>
          <a:grpSpLocks/>
        </xdr:cNvGrpSpPr>
      </xdr:nvGrpSpPr>
      <xdr:grpSpPr>
        <a:xfrm>
          <a:off x="123825" y="4733925"/>
          <a:ext cx="1209675" cy="247650"/>
          <a:chOff x="92" y="3"/>
          <a:chExt cx="222" cy="36"/>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50</xdr:row>
      <xdr:rowOff>85725</xdr:rowOff>
    </xdr:from>
    <xdr:to>
      <xdr:col>16</xdr:col>
      <xdr:colOff>76200</xdr:colOff>
      <xdr:row>69</xdr:row>
      <xdr:rowOff>142875</xdr:rowOff>
    </xdr:to>
    <xdr:graphicFrame>
      <xdr:nvGraphicFramePr>
        <xdr:cNvPr id="1" name="Chart 50"/>
        <xdr:cNvGraphicFramePr/>
      </xdr:nvGraphicFramePr>
      <xdr:xfrm>
        <a:off x="142875" y="7324725"/>
        <a:ext cx="6105525" cy="3133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12</xdr:row>
      <xdr:rowOff>57150</xdr:rowOff>
    </xdr:from>
    <xdr:ext cx="5495925" cy="876300"/>
    <xdr:sp>
      <xdr:nvSpPr>
        <xdr:cNvPr id="1" name="Text Box 3"/>
        <xdr:cNvSpPr txBox="1">
          <a:spLocks noChangeArrowheads="1"/>
        </xdr:cNvSpPr>
      </xdr:nvSpPr>
      <xdr:spPr>
        <a:xfrm>
          <a:off x="485775" y="2314575"/>
          <a:ext cx="5495925" cy="876300"/>
        </a:xfrm>
        <a:prstGeom prst="rect">
          <a:avLst/>
        </a:prstGeom>
        <a:noFill/>
        <a:ln w="44450" cmpd="thickThin">
          <a:solidFill>
            <a:srgbClr val="000000"/>
          </a:solidFill>
          <a:headEnd type="none"/>
          <a:tailEnd type="none"/>
        </a:ln>
      </xdr:spPr>
      <xdr:txBody>
        <a:bodyPr vertOverflow="clip" wrap="square" lIns="27432" tIns="18288" rIns="27432" bIns="0"/>
        <a:p>
          <a:pPr algn="just">
            <a:defRPr/>
          </a:pPr>
          <a:r>
            <a:rPr lang="en-US" cap="none" sz="750" b="1" i="0" u="none" baseline="0">
              <a:solidFill>
                <a:srgbClr val="000000"/>
              </a:solidFill>
              <a:latin typeface="Times New Roman"/>
              <a:ea typeface="Times New Roman"/>
              <a:cs typeface="Times New Roman"/>
            </a:rPr>
            <a:t>DISCLAIMER:  "Package A_NAToolPetro.xls" </a:t>
          </a:r>
          <a:r>
            <a:rPr lang="en-US" cap="none" sz="750" b="0" i="0" u="none" baseline="0">
              <a:solidFill>
                <a:srgbClr val="000000"/>
              </a:solidFill>
              <a:latin typeface="Times New Roman"/>
              <a:ea typeface="Times New Roman"/>
              <a:cs typeface="Times New Roman"/>
            </a:rPr>
            <a:t>is provided “AS IS” and without warranties as to performance or any other warranties of any kind whether expressed or implied.  In no event shall the State of Washington be liable for damages or losses of any nature or kind, including but not limited to any compensatory, direct, special, incidental, indirect, or consequential damages whatsoever including, without limitation, damages for injuries to persons or property, loss of business profits, business interruption, loss of business information, or any other pecuniary or non-pecuniary loss) arising out of  or relating to the use of or inability to use this software, even if the State of Washington has been advised or is aware of the possibility of such damages.  This software is not intended, and cannot be relied on, to create rights, substantive or procedural, enforceable by any party in litigation with the State of Washington.  Ecology reserves the right to act at variance with this software at any time.</a:t>
          </a:r>
        </a:p>
      </xdr:txBody>
    </xdr:sp>
    <xdr:clientData/>
  </xdr:oneCellAnchor>
  <xdr:oneCellAnchor>
    <xdr:from>
      <xdr:col>2</xdr:col>
      <xdr:colOff>123825</xdr:colOff>
      <xdr:row>6</xdr:row>
      <xdr:rowOff>57150</xdr:rowOff>
    </xdr:from>
    <xdr:ext cx="5400675" cy="1133475"/>
    <xdr:sp>
      <xdr:nvSpPr>
        <xdr:cNvPr id="2" name="Text Box 4"/>
        <xdr:cNvSpPr txBox="1">
          <a:spLocks noChangeArrowheads="1"/>
        </xdr:cNvSpPr>
      </xdr:nvSpPr>
      <xdr:spPr>
        <a:xfrm>
          <a:off x="523875" y="838200"/>
          <a:ext cx="5400675" cy="1133475"/>
        </a:xfrm>
        <a:prstGeom prst="rect">
          <a:avLst/>
        </a:prstGeom>
        <a:noFill/>
        <a:ln w="3175" cmpd="sng">
          <a:noFill/>
        </a:ln>
      </xdr:spPr>
      <xdr:txBody>
        <a:bodyPr vertOverflow="clip" wrap="square" lIns="36576" tIns="32004" rIns="36576" bIns="0"/>
        <a:p>
          <a:pPr algn="just">
            <a:defRPr/>
          </a:pPr>
          <a:r>
            <a:rPr lang="en-US" cap="none" sz="1150" b="0" i="1" u="none" baseline="0">
              <a:solidFill>
                <a:srgbClr val="000000"/>
              </a:solidFill>
              <a:latin typeface="Times New Roman"/>
              <a:ea typeface="Times New Roman"/>
              <a:cs typeface="Times New Roman"/>
            </a:rPr>
            <a:t>This Workbook with accompanying "User's Manual: Natural Attenuation Analysis Tool Package for Petroleum-Contaminated Ground Water (Publication No 05-09-091A)" provides necessary decision making-tools to evaluate, analyze and interpret the Natural Attenuation processes for a petroleum-contaminated ground water site when no engineered controls or further source mass reduction are implemented as set forth in WAC 173-340-370(7).  
</a:t>
          </a:r>
          <a:r>
            <a:rPr lang="en-US" cap="none" sz="1150" b="0" i="1" u="none" baseline="0">
              <a:solidFill>
                <a:srgbClr val="000000"/>
              </a:solidFill>
              <a:latin typeface="Times New Roman"/>
              <a:ea typeface="Times New Roman"/>
              <a:cs typeface="Times New Roman"/>
            </a:rPr>
            <a:t>
</a:t>
          </a:r>
          <a:r>
            <a:rPr lang="en-US" cap="none" sz="1150" b="0" i="1" u="none" baseline="0">
              <a:solidFill>
                <a:srgbClr val="000000"/>
              </a:solidFill>
              <a:latin typeface="Times New Roman"/>
              <a:ea typeface="Times New Roman"/>
              <a:cs typeface="Times New Roman"/>
            </a:rPr>
            <a:t>
</a:t>
          </a:r>
        </a:p>
      </xdr:txBody>
    </xdr:sp>
    <xdr:clientData/>
  </xdr:oneCellAnchor>
  <xdr:oneCellAnchor>
    <xdr:from>
      <xdr:col>2</xdr:col>
      <xdr:colOff>352425</xdr:colOff>
      <xdr:row>10</xdr:row>
      <xdr:rowOff>485775</xdr:rowOff>
    </xdr:from>
    <xdr:ext cx="533400" cy="180975"/>
    <xdr:sp>
      <xdr:nvSpPr>
        <xdr:cNvPr id="3" name="Text Box 5"/>
        <xdr:cNvSpPr txBox="1">
          <a:spLocks noChangeArrowheads="1"/>
        </xdr:cNvSpPr>
      </xdr:nvSpPr>
      <xdr:spPr>
        <a:xfrm>
          <a:off x="752475" y="2019300"/>
          <a:ext cx="533400" cy="18097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SELECT </a:t>
          </a:r>
        </a:p>
      </xdr:txBody>
    </xdr:sp>
    <xdr:clientData fPrintsWithSheet="0"/>
  </xdr:oneCellAnchor>
  <xdr:oneCellAnchor>
    <xdr:from>
      <xdr:col>4</xdr:col>
      <xdr:colOff>676275</xdr:colOff>
      <xdr:row>11</xdr:row>
      <xdr:rowOff>0</xdr:rowOff>
    </xdr:from>
    <xdr:ext cx="466725" cy="161925"/>
    <xdr:sp>
      <xdr:nvSpPr>
        <xdr:cNvPr id="4" name="Text Box 6"/>
        <xdr:cNvSpPr txBox="1">
          <a:spLocks noChangeArrowheads="1"/>
        </xdr:cNvSpPr>
      </xdr:nvSpPr>
      <xdr:spPr>
        <a:xfrm>
          <a:off x="3267075" y="2038350"/>
          <a:ext cx="466725" cy="16192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SELECT  </a:t>
          </a:r>
        </a:p>
      </xdr:txBody>
    </xdr:sp>
    <xdr:clientData fPrintsWithSheet="0"/>
  </xdr:oneCellAnchor>
  <xdr:oneCellAnchor>
    <xdr:from>
      <xdr:col>3</xdr:col>
      <xdr:colOff>714375</xdr:colOff>
      <xdr:row>10</xdr:row>
      <xdr:rowOff>485775</xdr:rowOff>
    </xdr:from>
    <xdr:ext cx="819150" cy="161925"/>
    <xdr:sp>
      <xdr:nvSpPr>
        <xdr:cNvPr id="5" name="Text Box 7"/>
        <xdr:cNvSpPr txBox="1">
          <a:spLocks noChangeArrowheads="1"/>
        </xdr:cNvSpPr>
      </xdr:nvSpPr>
      <xdr:spPr>
        <a:xfrm>
          <a:off x="1933575" y="2019300"/>
          <a:ext cx="819150" cy="16192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TO PROCEED</a:t>
          </a:r>
        </a:p>
      </xdr:txBody>
    </xdr:sp>
    <xdr:clientData fPrintsWithSheet="0"/>
  </xdr:oneCellAnchor>
  <xdr:oneCellAnchor>
    <xdr:from>
      <xdr:col>5</xdr:col>
      <xdr:colOff>219075</xdr:colOff>
      <xdr:row>11</xdr:row>
      <xdr:rowOff>0</xdr:rowOff>
    </xdr:from>
    <xdr:ext cx="1381125" cy="180975"/>
    <xdr:sp>
      <xdr:nvSpPr>
        <xdr:cNvPr id="6" name="Text Box 8"/>
        <xdr:cNvSpPr txBox="1">
          <a:spLocks noChangeArrowheads="1"/>
        </xdr:cNvSpPr>
      </xdr:nvSpPr>
      <xdr:spPr>
        <a:xfrm>
          <a:off x="4267200" y="2038350"/>
          <a:ext cx="1381125" cy="18097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TO EXIT WORKBOOK</a:t>
          </a:r>
        </a:p>
      </xdr:txBody>
    </xdr:sp>
    <xdr:clientData fPrintsWithSheet="0"/>
  </xdr:oneCellAnchor>
  <xdr:oneCellAnchor>
    <xdr:from>
      <xdr:col>2</xdr:col>
      <xdr:colOff>171450</xdr:colOff>
      <xdr:row>12</xdr:row>
      <xdr:rowOff>0</xdr:rowOff>
    </xdr:from>
    <xdr:ext cx="66675" cy="190500"/>
    <xdr:sp>
      <xdr:nvSpPr>
        <xdr:cNvPr id="7" name="Text Box 9"/>
        <xdr:cNvSpPr txBox="1">
          <a:spLocks noChangeArrowheads="1"/>
        </xdr:cNvSpPr>
      </xdr:nvSpPr>
      <xdr:spPr>
        <a:xfrm>
          <a:off x="571500" y="22574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67</xdr:row>
      <xdr:rowOff>19050</xdr:rowOff>
    </xdr:from>
    <xdr:to>
      <xdr:col>9</xdr:col>
      <xdr:colOff>381000</xdr:colOff>
      <xdr:row>78</xdr:row>
      <xdr:rowOff>66675</xdr:rowOff>
    </xdr:to>
    <xdr:pic>
      <xdr:nvPicPr>
        <xdr:cNvPr id="1" name="Picture 17"/>
        <xdr:cNvPicPr preferRelativeResize="1">
          <a:picLocks noChangeAspect="1"/>
        </xdr:cNvPicPr>
      </xdr:nvPicPr>
      <xdr:blipFill>
        <a:blip r:embed="rId1"/>
        <a:stretch>
          <a:fillRect/>
        </a:stretch>
      </xdr:blipFill>
      <xdr:spPr>
        <a:xfrm>
          <a:off x="0" y="10868025"/>
          <a:ext cx="4924425" cy="1828800"/>
        </a:xfrm>
        <a:prstGeom prst="rect">
          <a:avLst/>
        </a:prstGeom>
        <a:noFill/>
        <a:ln w="9525" cmpd="sng">
          <a:noFill/>
        </a:ln>
      </xdr:spPr>
    </xdr:pic>
    <xdr:clientData/>
  </xdr:twoCellAnchor>
  <xdr:twoCellAnchor editAs="oneCell">
    <xdr:from>
      <xdr:col>0</xdr:col>
      <xdr:colOff>104775</xdr:colOff>
      <xdr:row>2</xdr:row>
      <xdr:rowOff>85725</xdr:rowOff>
    </xdr:from>
    <xdr:to>
      <xdr:col>9</xdr:col>
      <xdr:colOff>476250</xdr:colOff>
      <xdr:row>43</xdr:row>
      <xdr:rowOff>0</xdr:rowOff>
    </xdr:to>
    <xdr:pic>
      <xdr:nvPicPr>
        <xdr:cNvPr id="2" name="Picture 26"/>
        <xdr:cNvPicPr preferRelativeResize="1">
          <a:picLocks noChangeAspect="1"/>
        </xdr:cNvPicPr>
      </xdr:nvPicPr>
      <xdr:blipFill>
        <a:blip r:embed="rId2"/>
        <a:stretch>
          <a:fillRect/>
        </a:stretch>
      </xdr:blipFill>
      <xdr:spPr>
        <a:xfrm>
          <a:off x="104775" y="409575"/>
          <a:ext cx="4914900" cy="6562725"/>
        </a:xfrm>
        <a:prstGeom prst="rect">
          <a:avLst/>
        </a:prstGeom>
        <a:noFill/>
        <a:ln w="9525" cmpd="sng">
          <a:noFill/>
        </a:ln>
      </xdr:spPr>
    </xdr:pic>
    <xdr:clientData/>
  </xdr:twoCellAnchor>
  <xdr:twoCellAnchor editAs="oneCell">
    <xdr:from>
      <xdr:col>0</xdr:col>
      <xdr:colOff>123825</xdr:colOff>
      <xdr:row>43</xdr:row>
      <xdr:rowOff>114300</xdr:rowOff>
    </xdr:from>
    <xdr:to>
      <xdr:col>9</xdr:col>
      <xdr:colOff>495300</xdr:colOff>
      <xdr:row>53</xdr:row>
      <xdr:rowOff>85725</xdr:rowOff>
    </xdr:to>
    <xdr:pic>
      <xdr:nvPicPr>
        <xdr:cNvPr id="3" name="Picture 27"/>
        <xdr:cNvPicPr preferRelativeResize="1">
          <a:picLocks noChangeAspect="1"/>
        </xdr:cNvPicPr>
      </xdr:nvPicPr>
      <xdr:blipFill>
        <a:blip r:embed="rId3"/>
        <a:stretch>
          <a:fillRect/>
        </a:stretch>
      </xdr:blipFill>
      <xdr:spPr>
        <a:xfrm>
          <a:off x="123825" y="7077075"/>
          <a:ext cx="4914900" cy="1590675"/>
        </a:xfrm>
        <a:prstGeom prst="rect">
          <a:avLst/>
        </a:prstGeom>
        <a:noFill/>
        <a:ln w="9525" cmpd="sng">
          <a:noFill/>
        </a:ln>
      </xdr:spPr>
    </xdr:pic>
    <xdr:clientData/>
  </xdr:twoCellAnchor>
  <xdr:twoCellAnchor>
    <xdr:from>
      <xdr:col>2</xdr:col>
      <xdr:colOff>200025</xdr:colOff>
      <xdr:row>0</xdr:row>
      <xdr:rowOff>38100</xdr:rowOff>
    </xdr:from>
    <xdr:to>
      <xdr:col>5</xdr:col>
      <xdr:colOff>85725</xdr:colOff>
      <xdr:row>1</xdr:row>
      <xdr:rowOff>142875</xdr:rowOff>
    </xdr:to>
    <xdr:grpSp>
      <xdr:nvGrpSpPr>
        <xdr:cNvPr id="4" name="Group 11"/>
        <xdr:cNvGrpSpPr>
          <a:grpSpLocks/>
        </xdr:cNvGrpSpPr>
      </xdr:nvGrpSpPr>
      <xdr:grpSpPr>
        <a:xfrm>
          <a:off x="1209675" y="38100"/>
          <a:ext cx="1400175" cy="266700"/>
          <a:chOff x="192" y="5"/>
          <a:chExt cx="222" cy="36"/>
        </a:xfrm>
        <a:solidFill>
          <a:srgbClr val="FFFFFF"/>
        </a:solidFill>
      </xdr:grpSpPr>
    </xdr:grpSp>
    <xdr:clientData/>
  </xdr:twoCellAnchor>
  <xdr:twoCellAnchor>
    <xdr:from>
      <xdr:col>0</xdr:col>
      <xdr:colOff>161925</xdr:colOff>
      <xdr:row>64</xdr:row>
      <xdr:rowOff>85725</xdr:rowOff>
    </xdr:from>
    <xdr:to>
      <xdr:col>3</xdr:col>
      <xdr:colOff>47625</xdr:colOff>
      <xdr:row>66</xdr:row>
      <xdr:rowOff>19050</xdr:rowOff>
    </xdr:to>
    <xdr:grpSp>
      <xdr:nvGrpSpPr>
        <xdr:cNvPr id="8" name="Group 12"/>
        <xdr:cNvGrpSpPr>
          <a:grpSpLocks/>
        </xdr:cNvGrpSpPr>
      </xdr:nvGrpSpPr>
      <xdr:grpSpPr>
        <a:xfrm>
          <a:off x="161925" y="10448925"/>
          <a:ext cx="1400175" cy="257175"/>
          <a:chOff x="192" y="5"/>
          <a:chExt cx="222" cy="36"/>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14</xdr:col>
      <xdr:colOff>180975</xdr:colOff>
      <xdr:row>58</xdr:row>
      <xdr:rowOff>85725</xdr:rowOff>
    </xdr:to>
    <xdr:pic>
      <xdr:nvPicPr>
        <xdr:cNvPr id="1" name="Picture 21"/>
        <xdr:cNvPicPr preferRelativeResize="1">
          <a:picLocks noChangeAspect="1"/>
        </xdr:cNvPicPr>
      </xdr:nvPicPr>
      <xdr:blipFill>
        <a:blip r:embed="rId1"/>
        <a:stretch>
          <a:fillRect/>
        </a:stretch>
      </xdr:blipFill>
      <xdr:spPr>
        <a:xfrm>
          <a:off x="0" y="323850"/>
          <a:ext cx="7248525" cy="8991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114300</xdr:rowOff>
    </xdr:from>
    <xdr:to>
      <xdr:col>13</xdr:col>
      <xdr:colOff>180975</xdr:colOff>
      <xdr:row>74</xdr:row>
      <xdr:rowOff>104775</xdr:rowOff>
    </xdr:to>
    <xdr:pic>
      <xdr:nvPicPr>
        <xdr:cNvPr id="1" name="Picture 29"/>
        <xdr:cNvPicPr preferRelativeResize="1">
          <a:picLocks noChangeAspect="1"/>
        </xdr:cNvPicPr>
      </xdr:nvPicPr>
      <xdr:blipFill>
        <a:blip r:embed="rId1"/>
        <a:stretch>
          <a:fillRect/>
        </a:stretch>
      </xdr:blipFill>
      <xdr:spPr>
        <a:xfrm>
          <a:off x="0" y="276225"/>
          <a:ext cx="6743700" cy="11649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76200</xdr:colOff>
      <xdr:row>58</xdr:row>
      <xdr:rowOff>0</xdr:rowOff>
    </xdr:from>
    <xdr:ext cx="57150" cy="190500"/>
    <xdr:sp>
      <xdr:nvSpPr>
        <xdr:cNvPr id="1" name="Text Box 1"/>
        <xdr:cNvSpPr txBox="1">
          <a:spLocks noChangeArrowheads="1"/>
        </xdr:cNvSpPr>
      </xdr:nvSpPr>
      <xdr:spPr>
        <a:xfrm>
          <a:off x="5705475" y="9486900"/>
          <a:ext cx="57150" cy="190500"/>
        </a:xfrm>
        <a:prstGeom prst="rect">
          <a:avLst/>
        </a:prstGeom>
        <a:noFill/>
        <a:ln w="317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76200</xdr:colOff>
      <xdr:row>2</xdr:row>
      <xdr:rowOff>57150</xdr:rowOff>
    </xdr:from>
    <xdr:ext cx="5400675" cy="923925"/>
    <xdr:sp>
      <xdr:nvSpPr>
        <xdr:cNvPr id="2" name="Text Box 2"/>
        <xdr:cNvSpPr txBox="1">
          <a:spLocks noChangeArrowheads="1"/>
        </xdr:cNvSpPr>
      </xdr:nvSpPr>
      <xdr:spPr>
        <a:xfrm>
          <a:off x="76200" y="419100"/>
          <a:ext cx="5400675" cy="923925"/>
        </a:xfrm>
        <a:prstGeom prst="rect">
          <a:avLst/>
        </a:prstGeom>
        <a:noFill/>
        <a:ln w="317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Adapted from 
</a:t>
          </a:r>
          <a:r>
            <a:rPr lang="en-US" cap="none" sz="800" b="0" i="0" u="none" baseline="0">
              <a:solidFill>
                <a:srgbClr val="000000"/>
              </a:solidFill>
              <a:latin typeface="Arial"/>
              <a:ea typeface="Arial"/>
              <a:cs typeface="Arial"/>
            </a:rPr>
            <a:t>*Gilbert, R.O., "Statistical Methods for Environmental Pollution Monitoring, Van Nostrand Reinhold, 1987, Table A18.
</a:t>
          </a:r>
          <a:r>
            <a:rPr lang="en-US" cap="none" sz="800" b="0" i="0" u="none" baseline="0">
              <a:solidFill>
                <a:srgbClr val="000000"/>
              </a:solidFill>
              <a:latin typeface="Arial"/>
              <a:ea typeface="Arial"/>
              <a:cs typeface="Arial"/>
            </a:rPr>
            <a:t>*Hollander, M. and Wolfe, D.A., "Nonparametric Statistical Methods, Wiley, New York, 1973, Table A.21.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47</xdr:row>
      <xdr:rowOff>76200</xdr:rowOff>
    </xdr:from>
    <xdr:to>
      <xdr:col>4</xdr:col>
      <xdr:colOff>647700</xdr:colOff>
      <xdr:row>66</xdr:row>
      <xdr:rowOff>19050</xdr:rowOff>
    </xdr:to>
    <xdr:graphicFrame>
      <xdr:nvGraphicFramePr>
        <xdr:cNvPr id="1" name="Chart 22"/>
        <xdr:cNvGraphicFramePr/>
      </xdr:nvGraphicFramePr>
      <xdr:xfrm>
        <a:off x="123825" y="6343650"/>
        <a:ext cx="2790825" cy="3105150"/>
      </xdr:xfrm>
      <a:graphic>
        <a:graphicData uri="http://schemas.openxmlformats.org/drawingml/2006/chart">
          <c:chart xmlns:c="http://schemas.openxmlformats.org/drawingml/2006/chart" r:id="rId1"/>
        </a:graphicData>
      </a:graphic>
    </xdr:graphicFrame>
    <xdr:clientData/>
  </xdr:twoCellAnchor>
  <xdr:twoCellAnchor>
    <xdr:from>
      <xdr:col>5</xdr:col>
      <xdr:colOff>38100</xdr:colOff>
      <xdr:row>47</xdr:row>
      <xdr:rowOff>76200</xdr:rowOff>
    </xdr:from>
    <xdr:to>
      <xdr:col>9</xdr:col>
      <xdr:colOff>0</xdr:colOff>
      <xdr:row>66</xdr:row>
      <xdr:rowOff>19050</xdr:rowOff>
    </xdr:to>
    <xdr:graphicFrame>
      <xdr:nvGraphicFramePr>
        <xdr:cNvPr id="2" name="Chart 59"/>
        <xdr:cNvGraphicFramePr/>
      </xdr:nvGraphicFramePr>
      <xdr:xfrm>
        <a:off x="3009900" y="6343650"/>
        <a:ext cx="2781300" cy="31051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31</xdr:row>
      <xdr:rowOff>9525</xdr:rowOff>
    </xdr:from>
    <xdr:to>
      <xdr:col>10</xdr:col>
      <xdr:colOff>361950</xdr:colOff>
      <xdr:row>111</xdr:row>
      <xdr:rowOff>28575</xdr:rowOff>
    </xdr:to>
    <xdr:graphicFrame>
      <xdr:nvGraphicFramePr>
        <xdr:cNvPr id="1" name="Chart 5"/>
        <xdr:cNvGraphicFramePr/>
      </xdr:nvGraphicFramePr>
      <xdr:xfrm>
        <a:off x="3200400" y="4419600"/>
        <a:ext cx="3067050" cy="41719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31</xdr:row>
      <xdr:rowOff>9525</xdr:rowOff>
    </xdr:from>
    <xdr:to>
      <xdr:col>5</xdr:col>
      <xdr:colOff>495300</xdr:colOff>
      <xdr:row>111</xdr:row>
      <xdr:rowOff>38100</xdr:rowOff>
    </xdr:to>
    <xdr:graphicFrame>
      <xdr:nvGraphicFramePr>
        <xdr:cNvPr id="2" name="Chart 17"/>
        <xdr:cNvGraphicFramePr/>
      </xdr:nvGraphicFramePr>
      <xdr:xfrm>
        <a:off x="95250" y="4419600"/>
        <a:ext cx="3067050" cy="41814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0</xdr:row>
      <xdr:rowOff>85725</xdr:rowOff>
    </xdr:from>
    <xdr:to>
      <xdr:col>22</xdr:col>
      <xdr:colOff>323850</xdr:colOff>
      <xdr:row>4</xdr:row>
      <xdr:rowOff>57150</xdr:rowOff>
    </xdr:to>
    <xdr:grpSp>
      <xdr:nvGrpSpPr>
        <xdr:cNvPr id="1" name="Group 97"/>
        <xdr:cNvGrpSpPr>
          <a:grpSpLocks/>
        </xdr:cNvGrpSpPr>
      </xdr:nvGrpSpPr>
      <xdr:grpSpPr>
        <a:xfrm>
          <a:off x="5514975" y="85725"/>
          <a:ext cx="2400300" cy="695325"/>
          <a:chOff x="179" y="12"/>
          <a:chExt cx="511" cy="139"/>
        </a:xfrm>
        <a:solidFill>
          <a:srgbClr val="FFFFFF"/>
        </a:solidFill>
      </xdr:grpSpPr>
      <xdr:sp>
        <xdr:nvSpPr>
          <xdr:cNvPr id="2" name="Oval 98"/>
          <xdr:cNvSpPr>
            <a:spLocks/>
          </xdr:cNvSpPr>
        </xdr:nvSpPr>
        <xdr:spPr>
          <a:xfrm>
            <a:off x="188" y="43"/>
            <a:ext cx="35" cy="72"/>
          </a:xfrm>
          <a:prstGeom prst="ellipse">
            <a:avLst/>
          </a:prstGeom>
          <a:solidFill>
            <a:srgbClr val="00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 name="Oval 99"/>
          <xdr:cNvSpPr>
            <a:spLocks/>
          </xdr:cNvSpPr>
        </xdr:nvSpPr>
        <xdr:spPr>
          <a:xfrm>
            <a:off x="233" y="68"/>
            <a:ext cx="5" cy="5"/>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 name="Oval 100"/>
          <xdr:cNvSpPr>
            <a:spLocks/>
          </xdr:cNvSpPr>
        </xdr:nvSpPr>
        <xdr:spPr>
          <a:xfrm>
            <a:off x="223" y="66"/>
            <a:ext cx="0" cy="6"/>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 name="Oval 101"/>
          <xdr:cNvSpPr>
            <a:spLocks/>
          </xdr:cNvSpPr>
        </xdr:nvSpPr>
        <xdr:spPr>
          <a:xfrm>
            <a:off x="193" y="17"/>
            <a:ext cx="132" cy="123"/>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2" name="Line 108"/>
          <xdr:cNvSpPr>
            <a:spLocks/>
          </xdr:cNvSpPr>
        </xdr:nvSpPr>
        <xdr:spPr>
          <a:xfrm>
            <a:off x="223" y="12"/>
            <a:ext cx="0" cy="139"/>
          </a:xfrm>
          <a:prstGeom prst="line">
            <a:avLst/>
          </a:prstGeom>
          <a:noFill/>
          <a:ln w="24765" cmpd="sng">
            <a:solidFill>
              <a:srgbClr val="424242"/>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nvGrpSpPr>
          <xdr:cNvPr id="14" name="Group 110"/>
          <xdr:cNvGrpSpPr>
            <a:grpSpLocks/>
          </xdr:cNvGrpSpPr>
        </xdr:nvGrpSpPr>
        <xdr:grpSpPr>
          <a:xfrm>
            <a:off x="223" y="70"/>
            <a:ext cx="8" cy="10"/>
            <a:chOff x="-1688" y="-15"/>
            <a:chExt cx="3920" cy="10"/>
          </a:xfrm>
          <a:solidFill>
            <a:srgbClr val="FFFFFF"/>
          </a:solidFill>
        </xdr:grpSpPr>
        <xdr:sp>
          <xdr:nvSpPr>
            <xdr:cNvPr id="15" name="Rectangle 111"/>
            <xdr:cNvSpPr>
              <a:spLocks/>
            </xdr:cNvSpPr>
          </xdr:nvSpPr>
          <xdr:spPr>
            <a:xfrm>
              <a:off x="-168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6" name="Line 112"/>
            <xdr:cNvSpPr>
              <a:spLocks/>
            </xdr:cNvSpPr>
          </xdr:nvSpPr>
          <xdr:spPr>
            <a:xfrm>
              <a:off x="27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7" name="Line 113"/>
            <xdr:cNvSpPr>
              <a:spLocks/>
            </xdr:cNvSpPr>
          </xdr:nvSpPr>
          <xdr:spPr>
            <a:xfrm>
              <a:off x="-512"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18" name="Group 114"/>
          <xdr:cNvGrpSpPr>
            <a:grpSpLocks/>
          </xdr:cNvGrpSpPr>
        </xdr:nvGrpSpPr>
        <xdr:grpSpPr>
          <a:xfrm>
            <a:off x="282" y="89"/>
            <a:ext cx="10" cy="10"/>
            <a:chOff x="-2088" y="-15"/>
            <a:chExt cx="3920" cy="10"/>
          </a:xfrm>
          <a:solidFill>
            <a:srgbClr val="FFFFFF"/>
          </a:solidFill>
        </xdr:grpSpPr>
        <xdr:sp>
          <xdr:nvSpPr>
            <xdr:cNvPr id="19" name="Rectangle 115"/>
            <xdr:cNvSpPr>
              <a:spLocks/>
            </xdr:cNvSpPr>
          </xdr:nvSpPr>
          <xdr:spPr>
            <a:xfrm>
              <a:off x="-208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0" name="Line 116"/>
            <xdr:cNvSpPr>
              <a:spLocks/>
            </xdr:cNvSpPr>
          </xdr:nvSpPr>
          <xdr:spPr>
            <a:xfrm>
              <a:off x="-128"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1" name="Line 117"/>
            <xdr:cNvSpPr>
              <a:spLocks/>
            </xdr:cNvSpPr>
          </xdr:nvSpPr>
          <xdr:spPr>
            <a:xfrm>
              <a:off x="-1696"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22" name="Group 118"/>
          <xdr:cNvGrpSpPr>
            <a:grpSpLocks/>
          </xdr:cNvGrpSpPr>
        </xdr:nvGrpSpPr>
        <xdr:grpSpPr>
          <a:xfrm>
            <a:off x="343" y="42"/>
            <a:ext cx="10" cy="10"/>
            <a:chOff x="-1704" y="-15"/>
            <a:chExt cx="3920" cy="10"/>
          </a:xfrm>
          <a:solidFill>
            <a:srgbClr val="FFFFFF"/>
          </a:solidFill>
        </xdr:grpSpPr>
        <xdr:sp>
          <xdr:nvSpPr>
            <xdr:cNvPr id="23" name="Rectangle 119"/>
            <xdr:cNvSpPr>
              <a:spLocks/>
            </xdr:cNvSpPr>
          </xdr:nvSpPr>
          <xdr:spPr>
            <a:xfrm>
              <a:off x="-1704"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4" name="Line 120"/>
            <xdr:cNvSpPr>
              <a:spLocks/>
            </xdr:cNvSpPr>
          </xdr:nvSpPr>
          <xdr:spPr>
            <a:xfrm>
              <a:off x="256"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5" name="Line 121"/>
            <xdr:cNvSpPr>
              <a:spLocks/>
            </xdr:cNvSpPr>
          </xdr:nvSpPr>
          <xdr:spPr>
            <a:xfrm>
              <a:off x="-528"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26" name="Group 122"/>
          <xdr:cNvGrpSpPr>
            <a:grpSpLocks/>
          </xdr:cNvGrpSpPr>
        </xdr:nvGrpSpPr>
        <xdr:grpSpPr>
          <a:xfrm>
            <a:off x="363" y="84"/>
            <a:ext cx="10" cy="10"/>
            <a:chOff x="-2104" y="-15"/>
            <a:chExt cx="3920" cy="10"/>
          </a:xfrm>
          <a:solidFill>
            <a:srgbClr val="FFFFFF"/>
          </a:solidFill>
        </xdr:grpSpPr>
        <xdr:sp>
          <xdr:nvSpPr>
            <xdr:cNvPr id="27" name="Rectangle 123"/>
            <xdr:cNvSpPr>
              <a:spLocks/>
            </xdr:cNvSpPr>
          </xdr:nvSpPr>
          <xdr:spPr>
            <a:xfrm>
              <a:off x="-2104"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8" name="Line 124"/>
            <xdr:cNvSpPr>
              <a:spLocks/>
            </xdr:cNvSpPr>
          </xdr:nvSpPr>
          <xdr:spPr>
            <a:xfrm>
              <a:off x="-144"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9" name="Line 125"/>
            <xdr:cNvSpPr>
              <a:spLocks/>
            </xdr:cNvSpPr>
          </xdr:nvSpPr>
          <xdr:spPr>
            <a:xfrm>
              <a:off x="-1712"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30" name="Group 126"/>
          <xdr:cNvGrpSpPr>
            <a:grpSpLocks/>
          </xdr:cNvGrpSpPr>
        </xdr:nvGrpSpPr>
        <xdr:grpSpPr>
          <a:xfrm>
            <a:off x="450" y="100"/>
            <a:ext cx="10" cy="10"/>
            <a:chOff x="-2112" y="-15"/>
            <a:chExt cx="3920" cy="10"/>
          </a:xfrm>
          <a:solidFill>
            <a:srgbClr val="FFFFFF"/>
          </a:solidFill>
        </xdr:grpSpPr>
        <xdr:sp>
          <xdr:nvSpPr>
            <xdr:cNvPr id="31" name="Rectangle 127"/>
            <xdr:cNvSpPr>
              <a:spLocks/>
            </xdr:cNvSpPr>
          </xdr:nvSpPr>
          <xdr:spPr>
            <a:xfrm>
              <a:off x="-21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2" name="Line 128"/>
            <xdr:cNvSpPr>
              <a:spLocks/>
            </xdr:cNvSpPr>
          </xdr:nvSpPr>
          <xdr:spPr>
            <a:xfrm>
              <a:off x="-1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3" name="Line 129"/>
            <xdr:cNvSpPr>
              <a:spLocks/>
            </xdr:cNvSpPr>
          </xdr:nvSpPr>
          <xdr:spPr>
            <a:xfrm>
              <a:off x="-1720"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34" name="Group 130"/>
          <xdr:cNvGrpSpPr>
            <a:grpSpLocks/>
          </xdr:cNvGrpSpPr>
        </xdr:nvGrpSpPr>
        <xdr:grpSpPr>
          <a:xfrm>
            <a:off x="531" y="28"/>
            <a:ext cx="10" cy="10"/>
            <a:chOff x="-2512" y="-15"/>
            <a:chExt cx="3920" cy="10"/>
          </a:xfrm>
          <a:solidFill>
            <a:srgbClr val="FFFFFF"/>
          </a:solidFill>
        </xdr:grpSpPr>
        <xdr:sp>
          <xdr:nvSpPr>
            <xdr:cNvPr id="35" name="Rectangle 131"/>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6" name="Line 132"/>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7" name="Line 133"/>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38" name="Group 134"/>
          <xdr:cNvGrpSpPr>
            <a:grpSpLocks/>
          </xdr:cNvGrpSpPr>
        </xdr:nvGrpSpPr>
        <xdr:grpSpPr>
          <a:xfrm>
            <a:off x="614" y="71"/>
            <a:ext cx="10" cy="10"/>
            <a:chOff x="-2128" y="-15"/>
            <a:chExt cx="3920" cy="10"/>
          </a:xfrm>
          <a:solidFill>
            <a:srgbClr val="FFFFFF"/>
          </a:solidFill>
        </xdr:grpSpPr>
        <xdr:sp>
          <xdr:nvSpPr>
            <xdr:cNvPr id="39" name="Rectangle 135"/>
            <xdr:cNvSpPr>
              <a:spLocks/>
            </xdr:cNvSpPr>
          </xdr:nvSpPr>
          <xdr:spPr>
            <a:xfrm>
              <a:off x="-212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0" name="Line 136"/>
            <xdr:cNvSpPr>
              <a:spLocks/>
            </xdr:cNvSpPr>
          </xdr:nvSpPr>
          <xdr:spPr>
            <a:xfrm>
              <a:off x="-168"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1" name="Line 137"/>
            <xdr:cNvSpPr>
              <a:spLocks/>
            </xdr:cNvSpPr>
          </xdr:nvSpPr>
          <xdr:spPr>
            <a:xfrm>
              <a:off x="-1736"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sp>
        <xdr:nvSpPr>
          <xdr:cNvPr id="42" name="Line 138"/>
          <xdr:cNvSpPr>
            <a:spLocks/>
          </xdr:cNvSpPr>
        </xdr:nvSpPr>
        <xdr:spPr>
          <a:xfrm>
            <a:off x="231" y="76"/>
            <a:ext cx="35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3" name="Text Box 139"/>
          <xdr:cNvSpPr txBox="1">
            <a:spLocks noChangeArrowheads="1"/>
          </xdr:cNvSpPr>
        </xdr:nvSpPr>
        <xdr:spPr>
          <a:xfrm>
            <a:off x="319" y="74"/>
            <a:ext cx="124" cy="24"/>
          </a:xfrm>
          <a:prstGeom prst="rect">
            <a:avLst/>
          </a:prstGeom>
          <a:noFill/>
          <a:ln w="9525" cmpd="sng">
            <a:noFill/>
          </a:ln>
        </xdr:spPr>
        <xdr:txBody>
          <a:bodyPr vertOverflow="clip" wrap="square" lIns="18288" tIns="18288" rIns="0" bIns="0">
            <a:spAutoFit/>
          </a:bodyPr>
          <a:p>
            <a:pPr algn="l">
              <a:defRPr/>
            </a:pPr>
            <a:r>
              <a:rPr lang="en-US" cap="none" sz="700" b="0" i="0" u="none" baseline="0">
                <a:solidFill>
                  <a:srgbClr val="000000"/>
                </a:solidFill>
              </a:rPr>
              <a:t>Plume Centerline</a:t>
            </a:r>
          </a:p>
        </xdr:txBody>
      </xdr:sp>
      <xdr:sp>
        <xdr:nvSpPr>
          <xdr:cNvPr id="44" name="Line 140"/>
          <xdr:cNvSpPr>
            <a:spLocks/>
          </xdr:cNvSpPr>
        </xdr:nvSpPr>
        <xdr:spPr>
          <a:xfrm>
            <a:off x="225" y="105"/>
            <a:ext cx="224" cy="0"/>
          </a:xfrm>
          <a:prstGeom prst="line">
            <a:avLst/>
          </a:prstGeom>
          <a:noFill/>
          <a:ln w="3175" cmpd="sng">
            <a:solidFill>
              <a:srgbClr val="000000"/>
            </a:solidFill>
            <a:prstDash val="sysDash"/>
            <a:headEnd type="triangl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5" name="Line 141"/>
          <xdr:cNvSpPr>
            <a:spLocks/>
          </xdr:cNvSpPr>
        </xdr:nvSpPr>
        <xdr:spPr>
          <a:xfrm rot="5400000" flipH="1">
            <a:off x="444" y="88"/>
            <a:ext cx="23" cy="1"/>
          </a:xfrm>
          <a:prstGeom prst="line">
            <a:avLst/>
          </a:prstGeom>
          <a:noFill/>
          <a:ln w="3175" cmpd="sng">
            <a:solidFill>
              <a:srgbClr val="000000"/>
            </a:solidFill>
            <a:prstDash val="sysDash"/>
            <a:headEnd type="triangl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6" name="Text Box 142"/>
          <xdr:cNvSpPr txBox="1">
            <a:spLocks noChangeArrowheads="1"/>
          </xdr:cNvSpPr>
        </xdr:nvSpPr>
        <xdr:spPr>
          <a:xfrm>
            <a:off x="323" y="84"/>
            <a:ext cx="15" cy="29"/>
          </a:xfrm>
          <a:prstGeom prst="rect">
            <a:avLst/>
          </a:prstGeom>
          <a:noFill/>
          <a:ln w="9525" cmpd="sng">
            <a:noFill/>
          </a:ln>
        </xdr:spPr>
        <xdr:txBody>
          <a:bodyPr vertOverflow="clip" wrap="square" lIns="18288" tIns="18288" rIns="0" bIns="0">
            <a:spAutoFit/>
          </a:bodyPr>
          <a:p>
            <a:pPr algn="l">
              <a:defRPr/>
            </a:pPr>
            <a:r>
              <a:rPr lang="en-US" cap="none" sz="800" b="1" i="1" u="none" baseline="0">
                <a:solidFill>
                  <a:srgbClr val="000000"/>
                </a:solidFill>
              </a:rPr>
              <a:t>x</a:t>
            </a:r>
          </a:p>
        </xdr:txBody>
      </xdr:sp>
      <xdr:sp>
        <xdr:nvSpPr>
          <xdr:cNvPr id="47" name="Text Box 143"/>
          <xdr:cNvSpPr txBox="1">
            <a:spLocks noChangeArrowheads="1"/>
          </xdr:cNvSpPr>
        </xdr:nvSpPr>
        <xdr:spPr>
          <a:xfrm>
            <a:off x="467" y="74"/>
            <a:ext cx="15" cy="28"/>
          </a:xfrm>
          <a:prstGeom prst="rect">
            <a:avLst/>
          </a:prstGeom>
          <a:noFill/>
          <a:ln w="9525" cmpd="sng">
            <a:noFill/>
          </a:ln>
        </xdr:spPr>
        <xdr:txBody>
          <a:bodyPr vertOverflow="clip" wrap="square" lIns="18288" tIns="18288" rIns="0" bIns="0">
            <a:spAutoFit/>
          </a:bodyPr>
          <a:p>
            <a:pPr algn="l">
              <a:defRPr/>
            </a:pPr>
            <a:r>
              <a:rPr lang="en-US" cap="none" sz="800" b="1" i="1" u="none" baseline="0">
                <a:solidFill>
                  <a:srgbClr val="000000"/>
                </a:solidFill>
              </a:rPr>
              <a:t>y</a:t>
            </a:r>
          </a:p>
        </xdr:txBody>
      </xdr:sp>
      <xdr:grpSp>
        <xdr:nvGrpSpPr>
          <xdr:cNvPr id="48" name="Group 144"/>
          <xdr:cNvGrpSpPr>
            <a:grpSpLocks/>
          </xdr:cNvGrpSpPr>
        </xdr:nvGrpSpPr>
        <xdr:grpSpPr>
          <a:xfrm>
            <a:off x="620" y="51"/>
            <a:ext cx="10" cy="10"/>
            <a:chOff x="-2512" y="-15"/>
            <a:chExt cx="3920" cy="10"/>
          </a:xfrm>
          <a:solidFill>
            <a:srgbClr val="FFFFFF"/>
          </a:solidFill>
        </xdr:grpSpPr>
        <xdr:sp>
          <xdr:nvSpPr>
            <xdr:cNvPr id="49" name="Rectangle 145"/>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0" name="Line 146"/>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1" name="Line 147"/>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52" name="Group 148"/>
          <xdr:cNvGrpSpPr>
            <a:grpSpLocks/>
          </xdr:cNvGrpSpPr>
        </xdr:nvGrpSpPr>
        <xdr:grpSpPr>
          <a:xfrm>
            <a:off x="548" y="96"/>
            <a:ext cx="10" cy="10"/>
            <a:chOff x="-2512" y="-15"/>
            <a:chExt cx="3920" cy="10"/>
          </a:xfrm>
          <a:solidFill>
            <a:srgbClr val="FFFFFF"/>
          </a:solidFill>
        </xdr:grpSpPr>
        <xdr:sp>
          <xdr:nvSpPr>
            <xdr:cNvPr id="53" name="Rectangle 149"/>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4" name="Line 150"/>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5" name="Line 151"/>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56" name="Group 152"/>
          <xdr:cNvGrpSpPr>
            <a:grpSpLocks/>
          </xdr:cNvGrpSpPr>
        </xdr:nvGrpSpPr>
        <xdr:grpSpPr>
          <a:xfrm>
            <a:off x="680" y="69"/>
            <a:ext cx="10" cy="10"/>
            <a:chOff x="-2512" y="-15"/>
            <a:chExt cx="3920" cy="10"/>
          </a:xfrm>
          <a:solidFill>
            <a:srgbClr val="FFFFFF"/>
          </a:solidFill>
        </xdr:grpSpPr>
        <xdr:sp>
          <xdr:nvSpPr>
            <xdr:cNvPr id="57" name="Rectangle 153"/>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8" name="Line 154"/>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9" name="Line 155"/>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Washington_DOE\SOILM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MTCATPH11_x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Washington_DOE\SOILMOD_benze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1_1"/>
      <sheetName val="dialog1"/>
      <sheetName val="dialog2"/>
      <sheetName val="DC_InputOutput_industrial"/>
      <sheetName val="DC_InputOutput"/>
      <sheetName val="Chemical List"/>
      <sheetName val="Title"/>
      <sheetName val="MainForm"/>
      <sheetName val="GW_CLU"/>
      <sheetName val="InputOutput"/>
      <sheetName val="Soil_vapor"/>
      <sheetName val="Soil-to-GroundWater"/>
      <sheetName val="Study"/>
      <sheetName val="Study_graph"/>
      <sheetName val="SelectChem2"/>
      <sheetName val="MassDistPhase"/>
      <sheetName val="EC Distribution Graph"/>
      <sheetName val="EC_Mass Dist"/>
      <sheetName val=" Defaults Fuel Comp"/>
      <sheetName val="Module26"/>
      <sheetName val="MTCATPH11_x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oleObject" Target="../embeddings/oleObject_12_1.bin" /><Relationship Id="rId3" Type="http://schemas.openxmlformats.org/officeDocument/2006/relationships/vmlDrawing" Target="../drawings/vmlDrawing13.vml" /><Relationship Id="rId4" Type="http://schemas.openxmlformats.org/officeDocument/2006/relationships/drawing" Target="../drawings/drawing11.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2.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82421875" defaultRowHeight="4.5" customHeight="1"/>
  <cols>
    <col min="1" max="16384" width="0.82421875" style="16" customWidth="1"/>
  </cols>
  <sheetData/>
  <sheetProtection sheet="1"/>
  <printOptions/>
  <pageMargins left="0.75" right="0.75" top="1" bottom="0.85" header="0.5" footer="0.25"/>
  <pageSetup horizontalDpi="600" verticalDpi="600" orientation="portrait" r:id="rId3"/>
  <headerFooter alignWithMargins="0">
    <oddHeader>&amp;R&amp;8&amp;D</oddHeader>
    <oddFooter>&amp;L&amp;Z&amp;F&amp;A</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Sheet17"/>
  <dimension ref="A1:O66"/>
  <sheetViews>
    <sheetView showGridLines="0" showRowColHeaders="0" zoomScale="105" zoomScaleNormal="105" zoomScalePageLayoutView="0" workbookViewId="0" topLeftCell="A1">
      <selection activeCell="M14" sqref="M14"/>
    </sheetView>
  </sheetViews>
  <sheetFormatPr defaultColWidth="9.33203125" defaultRowHeight="12.75"/>
  <cols>
    <col min="1" max="1" width="1.5" style="417" customWidth="1"/>
    <col min="2" max="2" width="7.33203125" style="417" customWidth="1"/>
    <col min="3" max="3" width="15.16015625" style="417" customWidth="1"/>
    <col min="4" max="4" width="1.5" style="417" customWidth="1"/>
    <col min="5" max="5" width="11.83203125" style="417" customWidth="1"/>
    <col min="6" max="6" width="9.83203125" style="417" customWidth="1"/>
    <col min="7" max="7" width="8.16015625" style="417" customWidth="1"/>
    <col min="8" max="8" width="7.16015625" style="417" customWidth="1"/>
    <col min="9" max="9" width="7.5" style="417" customWidth="1"/>
    <col min="10" max="10" width="8.83203125" style="417" customWidth="1"/>
    <col min="11" max="11" width="11.5" style="417" customWidth="1"/>
    <col min="12" max="12" width="8.83203125" style="417" customWidth="1"/>
    <col min="13" max="13" width="7.66015625" style="417" customWidth="1"/>
    <col min="14" max="14" width="24.66015625" style="417" customWidth="1"/>
    <col min="15" max="15" width="1.171875" style="417" customWidth="1"/>
    <col min="16" max="16384" width="8.83203125" style="417" customWidth="1"/>
  </cols>
  <sheetData>
    <row r="1" spans="1:15" ht="17.25" customHeight="1">
      <c r="A1" s="415"/>
      <c r="B1" s="416" t="s">
        <v>404</v>
      </c>
      <c r="C1" s="662"/>
      <c r="D1" s="416"/>
      <c r="E1" s="415"/>
      <c r="F1" s="415"/>
      <c r="G1" s="415"/>
      <c r="H1" s="415"/>
      <c r="I1" s="415"/>
      <c r="J1" s="415"/>
      <c r="K1" s="415"/>
      <c r="L1" s="415"/>
      <c r="M1" s="415"/>
      <c r="N1" s="415"/>
      <c r="O1" s="415"/>
    </row>
    <row r="2" spans="1:15" ht="12.75" hidden="1">
      <c r="A2" s="415"/>
      <c r="B2" s="415"/>
      <c r="C2" s="415"/>
      <c r="D2" s="415"/>
      <c r="E2" s="415"/>
      <c r="F2" s="415"/>
      <c r="G2" s="415"/>
      <c r="H2" s="415"/>
      <c r="I2" s="415"/>
      <c r="J2" s="415"/>
      <c r="K2" s="415"/>
      <c r="L2" s="415"/>
      <c r="M2" s="415"/>
      <c r="N2" s="415"/>
      <c r="O2" s="415"/>
    </row>
    <row r="3" spans="1:15" ht="13.5">
      <c r="A3" s="1002"/>
      <c r="B3" s="415"/>
      <c r="C3" s="208" t="str">
        <f>Historical_data_entry_1!D2</f>
        <v>Site Name:</v>
      </c>
      <c r="D3" s="208"/>
      <c r="E3" s="549" t="str">
        <f>Historical_data_entry_1!F2</f>
        <v>Gasoline Spill site; Table 7.2 of USEPA (2005)</v>
      </c>
      <c r="F3" s="415"/>
      <c r="G3" s="415"/>
      <c r="H3" s="415"/>
      <c r="I3" s="415"/>
      <c r="J3" s="415"/>
      <c r="K3" s="415"/>
      <c r="L3" s="415"/>
      <c r="M3" s="415"/>
      <c r="N3" s="415"/>
      <c r="O3" s="415"/>
    </row>
    <row r="4" spans="1:15" ht="12.75">
      <c r="A4" s="415"/>
      <c r="B4" s="415"/>
      <c r="C4" s="208" t="str">
        <f>Historical_data_entry_1!D3</f>
        <v>Site Address:</v>
      </c>
      <c r="D4" s="208"/>
      <c r="E4" s="549" t="str">
        <f>Historical_data_entry_1!F3</f>
        <v>Parsippany, NJ;</v>
      </c>
      <c r="F4" s="415"/>
      <c r="G4" s="415"/>
      <c r="H4" s="415"/>
      <c r="I4" s="415"/>
      <c r="J4" s="415"/>
      <c r="K4" s="415"/>
      <c r="L4" s="415"/>
      <c r="M4" s="415"/>
      <c r="N4" s="415"/>
      <c r="O4" s="415"/>
    </row>
    <row r="5" spans="1:15" ht="12.75">
      <c r="A5" s="423"/>
      <c r="B5" s="423"/>
      <c r="C5" s="425" t="str">
        <f>Historical_data_entry_1!D4</f>
        <v>Additional Description:</v>
      </c>
      <c r="D5" s="425"/>
      <c r="E5" s="663" t="str">
        <f>Historical_data_entry_1!F4</f>
        <v>Gas Spill</v>
      </c>
      <c r="F5" s="423"/>
      <c r="G5" s="423"/>
      <c r="H5" s="423"/>
      <c r="I5" s="423"/>
      <c r="J5" s="423"/>
      <c r="K5" s="423"/>
      <c r="L5" s="423"/>
      <c r="M5" s="423"/>
      <c r="N5" s="423"/>
      <c r="O5" s="423"/>
    </row>
    <row r="6" spans="1:15" ht="13.5" thickBot="1">
      <c r="A6" s="419"/>
      <c r="B6" s="419"/>
      <c r="C6" s="211" t="str">
        <f>Historical_data_entry_1!D5</f>
        <v>Hazardous Substance</v>
      </c>
      <c r="D6" s="211"/>
      <c r="E6" s="550" t="str">
        <f>Historical_data_entry_1!F5</f>
        <v>MTBE</v>
      </c>
      <c r="F6" s="419"/>
      <c r="G6" s="419"/>
      <c r="H6" s="419"/>
      <c r="I6" s="419"/>
      <c r="J6" s="419"/>
      <c r="K6" s="419"/>
      <c r="L6" s="419"/>
      <c r="M6" s="419"/>
      <c r="N6" s="419"/>
      <c r="O6" s="423"/>
    </row>
    <row r="7" spans="1:15" ht="3" customHeight="1" thickTop="1">
      <c r="A7" s="415"/>
      <c r="B7" s="415"/>
      <c r="C7" s="208"/>
      <c r="D7" s="208"/>
      <c r="E7" s="664"/>
      <c r="F7" s="415"/>
      <c r="G7" s="415"/>
      <c r="H7" s="415"/>
      <c r="I7" s="415"/>
      <c r="J7" s="415"/>
      <c r="K7" s="415"/>
      <c r="L7" s="415"/>
      <c r="M7" s="415"/>
      <c r="N7" s="415"/>
      <c r="O7" s="423"/>
    </row>
    <row r="8" spans="1:15" ht="0.75" customHeight="1">
      <c r="A8" s="415"/>
      <c r="B8" s="415"/>
      <c r="C8" s="665"/>
      <c r="D8" s="665"/>
      <c r="E8" s="415"/>
      <c r="F8" s="415"/>
      <c r="G8" s="415"/>
      <c r="H8" s="415"/>
      <c r="I8" s="415"/>
      <c r="J8" s="415"/>
      <c r="K8" s="415"/>
      <c r="L8" s="415"/>
      <c r="M8" s="415"/>
      <c r="N8" s="415"/>
      <c r="O8" s="415"/>
    </row>
    <row r="9" spans="1:15" ht="12.75" customHeight="1">
      <c r="A9" s="415"/>
      <c r="B9" s="880" t="s">
        <v>361</v>
      </c>
      <c r="C9" s="415"/>
      <c r="D9" s="415"/>
      <c r="E9" s="415"/>
      <c r="F9" s="415"/>
      <c r="G9" s="415"/>
      <c r="H9" s="415"/>
      <c r="I9" s="415"/>
      <c r="J9" s="415"/>
      <c r="K9" s="415"/>
      <c r="L9" s="415"/>
      <c r="M9" s="415"/>
      <c r="N9" s="415"/>
      <c r="O9" s="415"/>
    </row>
    <row r="10" spans="1:15" ht="0.75" customHeight="1">
      <c r="A10" s="415"/>
      <c r="B10" s="415"/>
      <c r="C10" s="415"/>
      <c r="D10" s="415"/>
      <c r="E10" s="415"/>
      <c r="F10" s="415"/>
      <c r="G10" s="415"/>
      <c r="H10" s="415"/>
      <c r="I10" s="415"/>
      <c r="J10" s="415"/>
      <c r="K10" s="415"/>
      <c r="L10" s="415"/>
      <c r="M10" s="415"/>
      <c r="N10" s="415"/>
      <c r="O10" s="415"/>
    </row>
    <row r="11" spans="1:15" ht="13.5" customHeight="1" thickBot="1">
      <c r="A11" s="415"/>
      <c r="B11" s="573" t="s">
        <v>303</v>
      </c>
      <c r="C11" s="980"/>
      <c r="D11" s="433"/>
      <c r="E11" s="1130" t="s">
        <v>158</v>
      </c>
      <c r="F11" s="1130"/>
      <c r="G11" s="678" t="s">
        <v>390</v>
      </c>
      <c r="H11" s="679"/>
      <c r="I11" s="679"/>
      <c r="J11" s="679"/>
      <c r="K11" s="981">
        <v>0.85</v>
      </c>
      <c r="L11" s="415"/>
      <c r="M11" s="415"/>
      <c r="N11" s="415"/>
      <c r="O11" s="415"/>
    </row>
    <row r="12" spans="1:15" ht="13.5" customHeight="1">
      <c r="A12" s="415"/>
      <c r="B12" s="868" t="s">
        <v>369</v>
      </c>
      <c r="C12" s="423"/>
      <c r="D12" s="423"/>
      <c r="E12" s="423"/>
      <c r="F12" s="423"/>
      <c r="G12" s="1129">
        <f>IF(ISERROR(Historical_data_entry_1!AA95),"NA",Historical_data_entry_1!AA95)</f>
        <v>0.9999869873715387</v>
      </c>
      <c r="H12" s="1129"/>
      <c r="I12" s="423"/>
      <c r="J12" s="423"/>
      <c r="K12" s="459"/>
      <c r="L12" s="415"/>
      <c r="M12" s="415"/>
      <c r="N12" s="415"/>
      <c r="O12" s="415"/>
    </row>
    <row r="13" spans="1:15" ht="13.5" customHeight="1" thickBot="1">
      <c r="A13" s="415"/>
      <c r="B13" s="881" t="str">
        <f>Temporal_Analysis!B60</f>
        <v>Plume Stability?</v>
      </c>
      <c r="C13" s="679"/>
      <c r="D13" s="679"/>
      <c r="E13" s="679"/>
      <c r="F13" s="1131" t="str">
        <f>IF(ISERROR(Historical_data_entry_1!AA137),"NA",Historical_data_entry_1!AA137)</f>
        <v>Shrinking</v>
      </c>
      <c r="G13" s="1131"/>
      <c r="H13" s="679" t="str">
        <f>"; Decision Criteria is "&amp;sigLvl_graph*100&amp;"%."</f>
        <v>; Decision Criteria is 85%.</v>
      </c>
      <c r="I13" s="679"/>
      <c r="J13" s="679"/>
      <c r="K13" s="683"/>
      <c r="L13" s="415"/>
      <c r="M13" s="415"/>
      <c r="N13" s="415"/>
      <c r="O13" s="415"/>
    </row>
    <row r="14" spans="1:15" ht="16.5" customHeight="1">
      <c r="A14" s="415"/>
      <c r="B14" s="1025" t="s">
        <v>396</v>
      </c>
      <c r="C14" s="440"/>
      <c r="D14" s="440"/>
      <c r="E14" s="440"/>
      <c r="F14" s="799"/>
      <c r="G14" s="1028">
        <f>IF(ISERROR(Historical_data_entry_1!AA99),"NA",Historical_data_entry_1!AA99)</f>
        <v>1.058173503422286</v>
      </c>
      <c r="H14" s="1026" t="str">
        <f>"@50% C.L.;"</f>
        <v>@50% C.L.;</v>
      </c>
      <c r="I14" s="1027"/>
      <c r="J14" s="1030">
        <f>IF(ISERROR(Historical_data_entry_1!AA142),"NA",Historical_data_entry_1!AA142)</f>
        <v>0.9126526665118497</v>
      </c>
      <c r="K14" s="523" t="str">
        <f>"@"&amp;sigLvl_graph*100&amp;"% C.L."</f>
        <v>@85% C.L.</v>
      </c>
      <c r="L14" s="415"/>
      <c r="M14" s="415"/>
      <c r="N14" s="415"/>
      <c r="O14" s="415"/>
    </row>
    <row r="15" spans="1:15" ht="16.5" customHeight="1" thickBot="1">
      <c r="A15" s="415"/>
      <c r="B15" s="882" t="s">
        <v>397</v>
      </c>
      <c r="C15" s="445"/>
      <c r="D15" s="445"/>
      <c r="E15" s="445"/>
      <c r="F15" s="457"/>
      <c r="G15" s="1029">
        <f>IF(ISERROR(Historical_data_entry_1!AA101),"NA",Historical_data_entry_1!AA101)</f>
        <v>0.6550411424196572</v>
      </c>
      <c r="H15" s="666" t="str">
        <f>"@50% C.L.;"</f>
        <v>@50% C.L.;</v>
      </c>
      <c r="I15" s="684"/>
      <c r="J15" s="1029">
        <f>IF(ISERROR(Historical_data_entry_1!AA144),"NA",Historical_data_entry_1!AA144)</f>
        <v>0.759486282124335</v>
      </c>
      <c r="K15" s="434" t="str">
        <f>"@"&amp;sigLvl_graph*100&amp;"% C.L."</f>
        <v>@85% C.L.</v>
      </c>
      <c r="L15" s="415"/>
      <c r="M15" s="415"/>
      <c r="N15" s="415"/>
      <c r="O15" s="415"/>
    </row>
    <row r="16" spans="1:15" ht="6" customHeight="1">
      <c r="A16" s="415"/>
      <c r="B16" s="415"/>
      <c r="C16" s="415"/>
      <c r="D16" s="415"/>
      <c r="E16" s="415"/>
      <c r="F16" s="415"/>
      <c r="G16" s="667"/>
      <c r="H16" s="415"/>
      <c r="I16" s="415"/>
      <c r="J16" s="415"/>
      <c r="K16" s="415"/>
      <c r="L16" s="415"/>
      <c r="M16" s="415"/>
      <c r="N16" s="415"/>
      <c r="O16" s="415"/>
    </row>
    <row r="17" spans="1:15" ht="12.75" customHeight="1">
      <c r="A17" s="415"/>
      <c r="B17" s="415"/>
      <c r="C17" s="415"/>
      <c r="D17" s="415"/>
      <c r="E17" s="415"/>
      <c r="F17" s="415"/>
      <c r="G17" s="667"/>
      <c r="H17" s="415"/>
      <c r="I17" s="415"/>
      <c r="J17" s="415"/>
      <c r="K17" s="415"/>
      <c r="L17" s="415"/>
      <c r="M17" s="415"/>
      <c r="N17" s="415"/>
      <c r="O17" s="415"/>
    </row>
    <row r="18" spans="1:15" ht="12" customHeight="1">
      <c r="A18" s="415"/>
      <c r="B18" s="415"/>
      <c r="C18" s="415"/>
      <c r="D18" s="415"/>
      <c r="E18" s="415"/>
      <c r="F18" s="415"/>
      <c r="G18" s="415"/>
      <c r="H18" s="415"/>
      <c r="I18" s="415"/>
      <c r="J18" s="415"/>
      <c r="K18" s="415"/>
      <c r="L18" s="415"/>
      <c r="M18" s="415"/>
      <c r="N18" s="415"/>
      <c r="O18" s="415"/>
    </row>
    <row r="19" spans="1:15" ht="7.5" customHeight="1">
      <c r="A19" s="423"/>
      <c r="B19" s="423"/>
      <c r="C19" s="423"/>
      <c r="D19" s="423"/>
      <c r="E19" s="423"/>
      <c r="F19" s="423"/>
      <c r="G19" s="423"/>
      <c r="H19" s="423"/>
      <c r="I19" s="423"/>
      <c r="J19" s="423"/>
      <c r="K19" s="423"/>
      <c r="L19" s="423"/>
      <c r="M19" s="423"/>
      <c r="N19" s="423"/>
      <c r="O19" s="423"/>
    </row>
    <row r="20" spans="1:15" ht="12.75">
      <c r="A20" s="423"/>
      <c r="B20" s="423"/>
      <c r="C20" s="423"/>
      <c r="D20" s="423"/>
      <c r="E20" s="423"/>
      <c r="F20" s="423"/>
      <c r="G20" s="423"/>
      <c r="H20" s="423"/>
      <c r="I20" s="423"/>
      <c r="J20" s="423"/>
      <c r="K20" s="423"/>
      <c r="L20" s="423"/>
      <c r="M20" s="423"/>
      <c r="N20" s="423"/>
      <c r="O20" s="423"/>
    </row>
    <row r="21" spans="1:15" ht="12.75">
      <c r="A21" s="423"/>
      <c r="B21" s="423"/>
      <c r="C21" s="423"/>
      <c r="D21" s="423"/>
      <c r="E21" s="423"/>
      <c r="F21" s="423"/>
      <c r="G21" s="423"/>
      <c r="H21" s="423"/>
      <c r="I21" s="423"/>
      <c r="J21" s="423"/>
      <c r="K21" s="423"/>
      <c r="L21" s="423"/>
      <c r="M21" s="423"/>
      <c r="N21" s="423"/>
      <c r="O21" s="423"/>
    </row>
    <row r="22" spans="1:15" ht="12.75">
      <c r="A22" s="423"/>
      <c r="B22" s="423"/>
      <c r="C22" s="423"/>
      <c r="D22" s="423"/>
      <c r="E22" s="423"/>
      <c r="F22" s="423"/>
      <c r="G22" s="423"/>
      <c r="H22" s="423"/>
      <c r="I22" s="423"/>
      <c r="J22" s="423"/>
      <c r="K22" s="423"/>
      <c r="L22" s="423"/>
      <c r="M22" s="423"/>
      <c r="N22" s="423"/>
      <c r="O22" s="423"/>
    </row>
    <row r="23" spans="1:15" ht="12.75">
      <c r="A23" s="423"/>
      <c r="B23" s="423"/>
      <c r="C23" s="423"/>
      <c r="D23" s="423"/>
      <c r="E23" s="423"/>
      <c r="F23" s="423"/>
      <c r="G23" s="423"/>
      <c r="H23" s="423"/>
      <c r="I23" s="423"/>
      <c r="J23" s="423"/>
      <c r="K23" s="423"/>
      <c r="L23" s="423"/>
      <c r="M23" s="423"/>
      <c r="N23" s="423"/>
      <c r="O23" s="423"/>
    </row>
    <row r="24" spans="1:15" ht="12.75">
      <c r="A24" s="423"/>
      <c r="B24" s="423"/>
      <c r="C24" s="423"/>
      <c r="D24" s="423"/>
      <c r="E24" s="423"/>
      <c r="F24" s="423"/>
      <c r="G24" s="423"/>
      <c r="H24" s="423"/>
      <c r="I24" s="423"/>
      <c r="J24" s="423"/>
      <c r="K24" s="423"/>
      <c r="L24" s="423"/>
      <c r="M24" s="423"/>
      <c r="N24" s="423"/>
      <c r="O24" s="423"/>
    </row>
    <row r="25" spans="1:15" ht="12.75">
      <c r="A25" s="423"/>
      <c r="B25" s="423"/>
      <c r="C25" s="423"/>
      <c r="D25" s="423"/>
      <c r="E25" s="423"/>
      <c r="F25" s="423"/>
      <c r="G25" s="423"/>
      <c r="H25" s="423"/>
      <c r="I25" s="423"/>
      <c r="J25" s="423"/>
      <c r="K25" s="423"/>
      <c r="L25" s="423"/>
      <c r="M25" s="423"/>
      <c r="N25" s="423"/>
      <c r="O25" s="423"/>
    </row>
    <row r="26" spans="1:15" ht="12.75">
      <c r="A26" s="423"/>
      <c r="B26" s="423"/>
      <c r="C26" s="423"/>
      <c r="D26" s="423"/>
      <c r="E26" s="423"/>
      <c r="F26" s="423"/>
      <c r="G26" s="423"/>
      <c r="H26" s="423"/>
      <c r="I26" s="423"/>
      <c r="J26" s="423"/>
      <c r="K26" s="423"/>
      <c r="L26" s="423"/>
      <c r="M26" s="423"/>
      <c r="N26" s="423"/>
      <c r="O26" s="423"/>
    </row>
    <row r="27" spans="1:15" ht="12.75">
      <c r="A27" s="423"/>
      <c r="B27" s="423"/>
      <c r="C27" s="423"/>
      <c r="D27" s="423"/>
      <c r="E27" s="423"/>
      <c r="F27" s="423"/>
      <c r="G27" s="423"/>
      <c r="H27" s="423"/>
      <c r="I27" s="423"/>
      <c r="J27" s="423"/>
      <c r="K27" s="423"/>
      <c r="L27" s="423"/>
      <c r="M27" s="423"/>
      <c r="N27" s="423"/>
      <c r="O27" s="423"/>
    </row>
    <row r="28" spans="1:15" ht="12.75">
      <c r="A28" s="423"/>
      <c r="B28" s="423"/>
      <c r="C28" s="423"/>
      <c r="D28" s="423"/>
      <c r="E28" s="423"/>
      <c r="F28" s="423"/>
      <c r="G28" s="423"/>
      <c r="H28" s="423"/>
      <c r="I28" s="423"/>
      <c r="J28" s="423"/>
      <c r="K28" s="423"/>
      <c r="L28" s="423"/>
      <c r="M28" s="423"/>
      <c r="N28" s="423"/>
      <c r="O28" s="423"/>
    </row>
    <row r="29" spans="1:15" ht="12.75">
      <c r="A29" s="423"/>
      <c r="B29" s="423"/>
      <c r="C29" s="423"/>
      <c r="D29" s="423"/>
      <c r="E29" s="423"/>
      <c r="F29" s="423"/>
      <c r="G29" s="423"/>
      <c r="H29" s="423"/>
      <c r="I29" s="423"/>
      <c r="J29" s="423"/>
      <c r="K29" s="423"/>
      <c r="L29" s="423"/>
      <c r="M29" s="423"/>
      <c r="N29" s="423"/>
      <c r="O29" s="423"/>
    </row>
    <row r="30" spans="1:15" ht="12.75">
      <c r="A30" s="423"/>
      <c r="B30" s="423"/>
      <c r="C30" s="423"/>
      <c r="D30" s="423"/>
      <c r="E30" s="423"/>
      <c r="F30" s="423"/>
      <c r="G30" s="423"/>
      <c r="H30" s="423"/>
      <c r="I30" s="423"/>
      <c r="J30" s="423"/>
      <c r="K30" s="423"/>
      <c r="L30" s="423"/>
      <c r="M30" s="423"/>
      <c r="N30" s="423"/>
      <c r="O30" s="423"/>
    </row>
    <row r="31" spans="1:15" ht="12.75">
      <c r="A31" s="423"/>
      <c r="B31" s="423"/>
      <c r="C31" s="423"/>
      <c r="D31" s="423"/>
      <c r="E31" s="423"/>
      <c r="F31" s="423"/>
      <c r="G31" s="423"/>
      <c r="H31" s="423"/>
      <c r="I31" s="423"/>
      <c r="J31" s="423"/>
      <c r="K31" s="423"/>
      <c r="L31" s="423"/>
      <c r="M31" s="423"/>
      <c r="N31" s="423"/>
      <c r="O31" s="423"/>
    </row>
    <row r="32" spans="1:15" ht="12.75">
      <c r="A32" s="423"/>
      <c r="B32" s="423"/>
      <c r="C32" s="423"/>
      <c r="D32" s="423"/>
      <c r="E32" s="423"/>
      <c r="F32" s="423"/>
      <c r="G32" s="423"/>
      <c r="H32" s="423"/>
      <c r="I32" s="423"/>
      <c r="J32" s="423"/>
      <c r="K32" s="423"/>
      <c r="L32" s="423"/>
      <c r="M32" s="423"/>
      <c r="N32" s="423"/>
      <c r="O32" s="423"/>
    </row>
    <row r="33" spans="1:15" ht="12.75">
      <c r="A33" s="423"/>
      <c r="B33" s="423"/>
      <c r="C33" s="423"/>
      <c r="D33" s="423"/>
      <c r="E33" s="423"/>
      <c r="F33" s="423"/>
      <c r="G33" s="423"/>
      <c r="H33" s="423"/>
      <c r="I33" s="423"/>
      <c r="J33" s="423"/>
      <c r="K33" s="423"/>
      <c r="L33" s="423"/>
      <c r="M33" s="423"/>
      <c r="N33" s="423"/>
      <c r="O33" s="423"/>
    </row>
    <row r="34" spans="1:15" ht="12.75">
      <c r="A34" s="423"/>
      <c r="B34" s="423"/>
      <c r="C34" s="423"/>
      <c r="D34" s="423"/>
      <c r="E34" s="423"/>
      <c r="F34" s="423"/>
      <c r="G34" s="423"/>
      <c r="H34" s="423"/>
      <c r="I34" s="423"/>
      <c r="J34" s="423"/>
      <c r="K34" s="423"/>
      <c r="L34" s="423"/>
      <c r="M34" s="423"/>
      <c r="N34" s="423"/>
      <c r="O34" s="423"/>
    </row>
    <row r="35" spans="1:15" ht="5.25" customHeight="1">
      <c r="A35" s="423"/>
      <c r="B35" s="423"/>
      <c r="C35" s="423"/>
      <c r="D35" s="423"/>
      <c r="E35" s="423"/>
      <c r="F35" s="423"/>
      <c r="G35" s="423"/>
      <c r="H35" s="423"/>
      <c r="I35" s="423"/>
      <c r="J35" s="423"/>
      <c r="K35" s="423"/>
      <c r="L35" s="423"/>
      <c r="M35" s="423"/>
      <c r="N35" s="423"/>
      <c r="O35" s="423"/>
    </row>
    <row r="36" spans="1:15" ht="38.25" customHeight="1">
      <c r="A36" s="423"/>
      <c r="B36" s="423"/>
      <c r="C36" s="502"/>
      <c r="D36" s="423"/>
      <c r="E36" s="423"/>
      <c r="F36" s="423"/>
      <c r="G36" s="423"/>
      <c r="H36" s="423"/>
      <c r="I36" s="423"/>
      <c r="J36" s="423"/>
      <c r="K36" s="423"/>
      <c r="L36" s="423"/>
      <c r="M36" s="423"/>
      <c r="N36" s="423"/>
      <c r="O36" s="423"/>
    </row>
    <row r="37" spans="1:15" s="669" customFormat="1" ht="21.75" customHeight="1">
      <c r="A37" s="668"/>
      <c r="B37" s="724" t="s">
        <v>360</v>
      </c>
      <c r="C37" s="668"/>
      <c r="D37" s="668"/>
      <c r="E37" s="668"/>
      <c r="F37" s="668"/>
      <c r="G37" s="668"/>
      <c r="H37" s="668"/>
      <c r="I37" s="668"/>
      <c r="J37" s="668"/>
      <c r="K37" s="668"/>
      <c r="L37" s="668"/>
      <c r="M37" s="668"/>
      <c r="N37" s="668"/>
      <c r="O37" s="668"/>
    </row>
    <row r="38" spans="1:15" ht="3" customHeight="1">
      <c r="A38" s="415"/>
      <c r="B38" s="415"/>
      <c r="C38" s="415"/>
      <c r="D38" s="415"/>
      <c r="E38" s="415"/>
      <c r="F38" s="415"/>
      <c r="G38" s="415"/>
      <c r="H38" s="415"/>
      <c r="I38" s="415"/>
      <c r="J38" s="415"/>
      <c r="K38" s="415"/>
      <c r="L38" s="415"/>
      <c r="M38" s="415"/>
      <c r="N38" s="415"/>
      <c r="O38" s="415"/>
    </row>
    <row r="39" spans="1:15" ht="12.75">
      <c r="A39" s="415"/>
      <c r="B39" s="945" t="s">
        <v>306</v>
      </c>
      <c r="C39" s="945" t="s">
        <v>321</v>
      </c>
      <c r="D39" s="945"/>
      <c r="E39" s="946">
        <v>35796</v>
      </c>
      <c r="F39" s="415"/>
      <c r="G39" s="415"/>
      <c r="H39" s="415"/>
      <c r="I39" s="415"/>
      <c r="J39" s="415"/>
      <c r="K39" s="415"/>
      <c r="L39" s="415"/>
      <c r="M39" s="415"/>
      <c r="N39" s="415"/>
      <c r="O39" s="415"/>
    </row>
    <row r="40" spans="1:15" ht="12.75">
      <c r="A40" s="415"/>
      <c r="B40" s="945" t="s">
        <v>307</v>
      </c>
      <c r="C40" s="945" t="s">
        <v>322</v>
      </c>
      <c r="D40" s="945"/>
      <c r="E40" s="946">
        <v>35952</v>
      </c>
      <c r="F40" s="415"/>
      <c r="G40" s="415"/>
      <c r="H40" s="415"/>
      <c r="I40" s="415"/>
      <c r="J40" s="415"/>
      <c r="K40" s="415"/>
      <c r="L40" s="415"/>
      <c r="M40" s="415"/>
      <c r="N40" s="415"/>
      <c r="O40" s="415"/>
    </row>
    <row r="41" spans="1:15" ht="12.75">
      <c r="A41" s="415"/>
      <c r="B41" s="945" t="s">
        <v>308</v>
      </c>
      <c r="C41" s="945" t="s">
        <v>319</v>
      </c>
      <c r="D41" s="945"/>
      <c r="E41" s="946">
        <v>36107</v>
      </c>
      <c r="F41" s="415"/>
      <c r="G41" s="415"/>
      <c r="H41" s="415"/>
      <c r="I41" s="415"/>
      <c r="J41" s="415"/>
      <c r="K41" s="415"/>
      <c r="L41" s="415"/>
      <c r="M41" s="415"/>
      <c r="N41" s="415"/>
      <c r="O41" s="415"/>
    </row>
    <row r="42" spans="1:15" ht="12.75">
      <c r="A42" s="415"/>
      <c r="B42" s="945" t="s">
        <v>305</v>
      </c>
      <c r="C42" s="945" t="s">
        <v>320</v>
      </c>
      <c r="D42" s="945"/>
      <c r="E42" s="946">
        <v>36290</v>
      </c>
      <c r="F42" s="415"/>
      <c r="G42" s="415"/>
      <c r="H42" s="415"/>
      <c r="I42" s="415"/>
      <c r="J42" s="415"/>
      <c r="K42" s="415"/>
      <c r="L42" s="415"/>
      <c r="M42" s="415"/>
      <c r="N42" s="415"/>
      <c r="O42" s="415"/>
    </row>
    <row r="43" spans="1:15" ht="12.75">
      <c r="A43" s="415"/>
      <c r="B43" s="945" t="s">
        <v>373</v>
      </c>
      <c r="C43" s="945" t="s">
        <v>371</v>
      </c>
      <c r="D43" s="945"/>
      <c r="E43" s="946"/>
      <c r="F43" s="415"/>
      <c r="G43" s="415"/>
      <c r="H43" s="415"/>
      <c r="I43" s="415"/>
      <c r="J43" s="415"/>
      <c r="K43" s="415"/>
      <c r="L43" s="415"/>
      <c r="M43" s="415"/>
      <c r="N43" s="415"/>
      <c r="O43" s="415"/>
    </row>
    <row r="44" spans="1:15" ht="12.75">
      <c r="A44" s="415"/>
      <c r="B44" s="945" t="s">
        <v>374</v>
      </c>
      <c r="C44" s="945" t="s">
        <v>372</v>
      </c>
      <c r="D44" s="945"/>
      <c r="E44" s="946"/>
      <c r="F44" s="415"/>
      <c r="G44" s="415"/>
      <c r="H44" s="415"/>
      <c r="I44" s="415"/>
      <c r="J44" s="415"/>
      <c r="K44" s="415"/>
      <c r="L44" s="415"/>
      <c r="M44" s="415"/>
      <c r="N44" s="415"/>
      <c r="O44" s="415"/>
    </row>
    <row r="45" spans="1:15" ht="12.75">
      <c r="A45" s="415"/>
      <c r="B45" s="415"/>
      <c r="C45" s="415"/>
      <c r="D45" s="415"/>
      <c r="E45" s="415"/>
      <c r="F45" s="415"/>
      <c r="G45" s="415"/>
      <c r="H45" s="415"/>
      <c r="I45" s="415"/>
      <c r="J45" s="415"/>
      <c r="K45" s="415"/>
      <c r="L45" s="415"/>
      <c r="M45" s="415"/>
      <c r="N45" s="415"/>
      <c r="O45" s="415"/>
    </row>
    <row r="46" spans="1:15" ht="12.75">
      <c r="A46" s="415"/>
      <c r="B46" s="415"/>
      <c r="C46" s="415"/>
      <c r="D46" s="415"/>
      <c r="E46" s="415"/>
      <c r="F46" s="415"/>
      <c r="G46" s="415"/>
      <c r="H46" s="415"/>
      <c r="I46" s="415"/>
      <c r="J46" s="415"/>
      <c r="K46" s="415"/>
      <c r="L46" s="415"/>
      <c r="M46" s="415"/>
      <c r="N46" s="415"/>
      <c r="O46" s="415"/>
    </row>
    <row r="47" spans="1:15" ht="12.75">
      <c r="A47" s="415"/>
      <c r="B47" s="415"/>
      <c r="C47" s="415"/>
      <c r="D47" s="415"/>
      <c r="E47" s="415"/>
      <c r="F47" s="415"/>
      <c r="G47" s="415"/>
      <c r="H47" s="415"/>
      <c r="I47" s="415"/>
      <c r="J47" s="415"/>
      <c r="K47" s="415"/>
      <c r="L47" s="415"/>
      <c r="M47" s="415"/>
      <c r="N47" s="415"/>
      <c r="O47" s="415"/>
    </row>
    <row r="48" spans="1:15" ht="12.75">
      <c r="A48" s="415"/>
      <c r="B48" s="415"/>
      <c r="C48" s="415"/>
      <c r="D48" s="415"/>
      <c r="E48" s="415"/>
      <c r="F48" s="415"/>
      <c r="G48" s="415"/>
      <c r="H48" s="415"/>
      <c r="I48" s="415"/>
      <c r="J48" s="415"/>
      <c r="K48" s="415"/>
      <c r="L48" s="415"/>
      <c r="M48" s="415"/>
      <c r="N48" s="415"/>
      <c r="O48" s="415"/>
    </row>
    <row r="49" spans="1:15" ht="12.75">
      <c r="A49" s="415"/>
      <c r="B49" s="415"/>
      <c r="C49" s="415"/>
      <c r="D49" s="415"/>
      <c r="E49" s="415"/>
      <c r="F49" s="415"/>
      <c r="G49" s="415"/>
      <c r="H49" s="415"/>
      <c r="I49" s="415"/>
      <c r="J49" s="415"/>
      <c r="K49" s="415"/>
      <c r="L49" s="415"/>
      <c r="M49" s="415"/>
      <c r="N49" s="415"/>
      <c r="O49" s="415"/>
    </row>
    <row r="50" spans="1:15" ht="12.75">
      <c r="A50" s="415"/>
      <c r="B50" s="415"/>
      <c r="C50" s="415"/>
      <c r="D50" s="415"/>
      <c r="E50" s="415"/>
      <c r="F50" s="415"/>
      <c r="G50" s="415"/>
      <c r="H50" s="415"/>
      <c r="I50" s="415"/>
      <c r="J50" s="415"/>
      <c r="K50" s="415"/>
      <c r="L50" s="415"/>
      <c r="M50" s="415"/>
      <c r="N50" s="415"/>
      <c r="O50" s="415"/>
    </row>
    <row r="51" spans="1:15" ht="12.75">
      <c r="A51" s="415"/>
      <c r="B51" s="415"/>
      <c r="C51" s="415"/>
      <c r="D51" s="415"/>
      <c r="E51" s="415"/>
      <c r="F51" s="415"/>
      <c r="G51" s="415"/>
      <c r="H51" s="415"/>
      <c r="I51" s="415"/>
      <c r="J51" s="415"/>
      <c r="K51" s="415"/>
      <c r="L51" s="415"/>
      <c r="M51" s="415"/>
      <c r="N51" s="415"/>
      <c r="O51" s="415"/>
    </row>
    <row r="52" spans="1:15" ht="12.75">
      <c r="A52" s="415"/>
      <c r="B52" s="415"/>
      <c r="C52" s="415"/>
      <c r="D52" s="415"/>
      <c r="E52" s="415"/>
      <c r="F52" s="415"/>
      <c r="G52" s="415"/>
      <c r="H52" s="415"/>
      <c r="I52" s="415"/>
      <c r="J52" s="415"/>
      <c r="K52" s="415"/>
      <c r="L52" s="415"/>
      <c r="M52" s="415"/>
      <c r="N52" s="415"/>
      <c r="O52" s="415"/>
    </row>
    <row r="53" spans="1:15" ht="12.75">
      <c r="A53" s="415"/>
      <c r="B53" s="415"/>
      <c r="C53" s="415"/>
      <c r="D53" s="415"/>
      <c r="E53" s="415"/>
      <c r="F53" s="415"/>
      <c r="G53" s="415"/>
      <c r="H53" s="415"/>
      <c r="I53" s="415"/>
      <c r="J53" s="415"/>
      <c r="K53" s="415"/>
      <c r="L53" s="415"/>
      <c r="M53" s="415"/>
      <c r="N53" s="415"/>
      <c r="O53" s="415"/>
    </row>
    <row r="54" spans="1:15" ht="12.75">
      <c r="A54" s="415"/>
      <c r="B54" s="415"/>
      <c r="C54" s="415"/>
      <c r="D54" s="415"/>
      <c r="E54" s="415"/>
      <c r="F54" s="415"/>
      <c r="G54" s="415"/>
      <c r="H54" s="415"/>
      <c r="I54" s="415"/>
      <c r="J54" s="415"/>
      <c r="K54" s="415"/>
      <c r="L54" s="415"/>
      <c r="M54" s="415"/>
      <c r="N54" s="415"/>
      <c r="O54" s="415"/>
    </row>
    <row r="55" spans="1:15" ht="12.75">
      <c r="A55" s="415"/>
      <c r="B55" s="415"/>
      <c r="C55" s="415"/>
      <c r="D55" s="415"/>
      <c r="E55" s="415"/>
      <c r="F55" s="415"/>
      <c r="G55" s="415"/>
      <c r="H55" s="415"/>
      <c r="I55" s="415"/>
      <c r="J55" s="415"/>
      <c r="K55" s="415"/>
      <c r="L55" s="415"/>
      <c r="M55" s="415"/>
      <c r="N55" s="415"/>
      <c r="O55" s="415"/>
    </row>
    <row r="56" spans="1:15" ht="12.75">
      <c r="A56" s="415"/>
      <c r="B56" s="415"/>
      <c r="C56" s="415"/>
      <c r="D56" s="415"/>
      <c r="E56" s="415"/>
      <c r="F56" s="415"/>
      <c r="G56" s="415"/>
      <c r="H56" s="415"/>
      <c r="I56" s="415"/>
      <c r="J56" s="415"/>
      <c r="K56" s="415"/>
      <c r="L56" s="415"/>
      <c r="M56" s="415"/>
      <c r="N56" s="415"/>
      <c r="O56" s="415"/>
    </row>
    <row r="57" spans="1:15" ht="12.75">
      <c r="A57" s="415"/>
      <c r="B57" s="415"/>
      <c r="C57" s="415"/>
      <c r="D57" s="415"/>
      <c r="E57" s="415"/>
      <c r="F57" s="415"/>
      <c r="G57" s="415"/>
      <c r="H57" s="415"/>
      <c r="I57" s="415"/>
      <c r="J57" s="415"/>
      <c r="K57" s="415"/>
      <c r="L57" s="415"/>
      <c r="M57" s="415"/>
      <c r="N57" s="415"/>
      <c r="O57" s="415"/>
    </row>
    <row r="58" spans="1:15" ht="12.75">
      <c r="A58" s="415"/>
      <c r="B58" s="415"/>
      <c r="C58" s="415"/>
      <c r="D58" s="415"/>
      <c r="E58" s="415"/>
      <c r="F58" s="415"/>
      <c r="G58" s="415"/>
      <c r="H58" s="415"/>
      <c r="I58" s="415"/>
      <c r="J58" s="415"/>
      <c r="K58" s="415"/>
      <c r="L58" s="415"/>
      <c r="M58" s="415"/>
      <c r="N58" s="415"/>
      <c r="O58" s="415"/>
    </row>
    <row r="59" spans="1:15" ht="12.75">
      <c r="A59" s="415"/>
      <c r="B59" s="415"/>
      <c r="C59" s="415"/>
      <c r="D59" s="415"/>
      <c r="E59" s="415"/>
      <c r="F59" s="415"/>
      <c r="G59" s="415"/>
      <c r="H59" s="415"/>
      <c r="I59" s="415"/>
      <c r="J59" s="415"/>
      <c r="K59" s="415"/>
      <c r="L59" s="415"/>
      <c r="M59" s="415"/>
      <c r="N59" s="415"/>
      <c r="O59" s="415"/>
    </row>
    <row r="60" spans="1:15" ht="12.75">
      <c r="A60" s="415"/>
      <c r="B60" s="415"/>
      <c r="C60" s="415"/>
      <c r="D60" s="415"/>
      <c r="E60" s="415"/>
      <c r="F60" s="415"/>
      <c r="G60" s="415"/>
      <c r="H60" s="415"/>
      <c r="I60" s="415"/>
      <c r="J60" s="415"/>
      <c r="K60" s="415"/>
      <c r="L60" s="415"/>
      <c r="M60" s="415"/>
      <c r="N60" s="415"/>
      <c r="O60" s="415"/>
    </row>
    <row r="61" spans="1:15" ht="12.75">
      <c r="A61" s="415"/>
      <c r="B61" s="415"/>
      <c r="C61" s="415"/>
      <c r="D61" s="415"/>
      <c r="E61" s="415"/>
      <c r="F61" s="415"/>
      <c r="G61" s="415"/>
      <c r="H61" s="415"/>
      <c r="I61" s="415"/>
      <c r="J61" s="415"/>
      <c r="K61" s="415"/>
      <c r="L61" s="415"/>
      <c r="M61" s="415"/>
      <c r="N61" s="415"/>
      <c r="O61" s="415"/>
    </row>
    <row r="62" spans="1:15" ht="12.75">
      <c r="A62" s="415"/>
      <c r="B62" s="415"/>
      <c r="C62" s="415"/>
      <c r="D62" s="415"/>
      <c r="E62" s="415"/>
      <c r="F62" s="415"/>
      <c r="G62" s="415"/>
      <c r="H62" s="415"/>
      <c r="I62" s="415"/>
      <c r="J62" s="415"/>
      <c r="K62" s="415"/>
      <c r="L62" s="415"/>
      <c r="M62" s="415"/>
      <c r="N62" s="415"/>
      <c r="O62" s="415"/>
    </row>
    <row r="63" spans="1:15" ht="12.75">
      <c r="A63" s="415"/>
      <c r="B63" s="415"/>
      <c r="C63" s="415"/>
      <c r="D63" s="415"/>
      <c r="E63" s="415"/>
      <c r="F63" s="415"/>
      <c r="G63" s="415"/>
      <c r="H63" s="415"/>
      <c r="I63" s="415"/>
      <c r="J63" s="415"/>
      <c r="K63" s="415"/>
      <c r="L63" s="415"/>
      <c r="M63" s="415"/>
      <c r="N63" s="415"/>
      <c r="O63" s="415"/>
    </row>
    <row r="64" spans="1:15" ht="12.75">
      <c r="A64" s="415"/>
      <c r="B64" s="415"/>
      <c r="C64" s="415"/>
      <c r="D64" s="415"/>
      <c r="E64" s="415"/>
      <c r="F64" s="415"/>
      <c r="G64" s="415"/>
      <c r="H64" s="415"/>
      <c r="I64" s="415"/>
      <c r="J64" s="415"/>
      <c r="K64" s="415"/>
      <c r="L64" s="415"/>
      <c r="M64" s="415"/>
      <c r="N64" s="415"/>
      <c r="O64" s="415"/>
    </row>
    <row r="65" spans="1:15" ht="12.75">
      <c r="A65" s="415"/>
      <c r="B65" s="415"/>
      <c r="C65" s="415"/>
      <c r="D65" s="415"/>
      <c r="E65" s="415"/>
      <c r="F65" s="415"/>
      <c r="G65" s="415"/>
      <c r="H65" s="415"/>
      <c r="I65" s="415"/>
      <c r="J65" s="415"/>
      <c r="K65" s="415"/>
      <c r="L65" s="415"/>
      <c r="M65" s="415"/>
      <c r="N65" s="415"/>
      <c r="O65" s="415"/>
    </row>
    <row r="66" spans="1:15" ht="12.75">
      <c r="A66" s="415"/>
      <c r="B66" s="415"/>
      <c r="C66" s="415"/>
      <c r="D66" s="415"/>
      <c r="E66" s="415"/>
      <c r="F66" s="415"/>
      <c r="G66" s="415"/>
      <c r="H66" s="415"/>
      <c r="I66" s="415"/>
      <c r="J66" s="415"/>
      <c r="K66" s="415"/>
      <c r="L66" s="415"/>
      <c r="M66" s="415"/>
      <c r="N66" s="415"/>
      <c r="O66" s="415"/>
    </row>
    <row r="67" s="463" customFormat="1" ht="12.75"/>
    <row r="68" s="463" customFormat="1" ht="12.75"/>
    <row r="69" s="463" customFormat="1" ht="12.75"/>
  </sheetData>
  <sheetProtection/>
  <mergeCells count="3">
    <mergeCell ref="G12:H12"/>
    <mergeCell ref="E11:F11"/>
    <mergeCell ref="F13:G13"/>
  </mergeCells>
  <dataValidations count="2">
    <dataValidation type="list" allowBlank="1" showInputMessage="1" showErrorMessage="1" sqref="E11">
      <formula1>well_Loc</formula1>
    </dataValidation>
    <dataValidation type="list" allowBlank="1" showInputMessage="1" showErrorMessage="1" sqref="E39:E44">
      <formula1>date_data</formula1>
    </dataValidation>
  </dataValidations>
  <printOptions/>
  <pageMargins left="0.27" right="0.27" top="0.4" bottom="0.65" header="0.23" footer="0.38"/>
  <pageSetup blackAndWhite="1" horizontalDpi="600" verticalDpi="600" orientation="portrait" scale="85" r:id="rId4"/>
  <headerFooter alignWithMargins="0">
    <oddHeader>&amp;L&amp;8Washington State Department of Ecology: TCP program&amp;R&amp;8&amp;D</oddHeader>
  </headerFooter>
  <drawing r:id="rId3"/>
  <legacyDrawing r:id="rId2"/>
</worksheet>
</file>

<file path=xl/worksheets/sheet11.xml><?xml version="1.0" encoding="utf-8"?>
<worksheet xmlns="http://schemas.openxmlformats.org/spreadsheetml/2006/main" xmlns:r="http://schemas.openxmlformats.org/officeDocument/2006/relationships">
  <sheetPr codeName="Sheet18"/>
  <dimension ref="A1:V71"/>
  <sheetViews>
    <sheetView showGridLines="0" showRowColHeaders="0" zoomScale="80" zoomScaleNormal="80" zoomScalePageLayoutView="0" workbookViewId="0" topLeftCell="A1">
      <selection activeCell="A1" sqref="A1"/>
    </sheetView>
  </sheetViews>
  <sheetFormatPr defaultColWidth="9.33203125" defaultRowHeight="12.75"/>
  <cols>
    <col min="1" max="1" width="0.82421875" style="463" customWidth="1"/>
    <col min="2" max="2" width="14.5" style="463" customWidth="1"/>
    <col min="3" max="3" width="9.16015625" style="463" customWidth="1"/>
    <col min="4" max="4" width="5.83203125" style="463" customWidth="1"/>
    <col min="5" max="5" width="9.16015625" style="463" customWidth="1"/>
    <col min="6" max="6" width="5.16015625" style="463" customWidth="1"/>
    <col min="7" max="22" width="7.83203125" style="463" customWidth="1"/>
    <col min="23" max="16384" width="8.83203125" style="463" customWidth="1"/>
  </cols>
  <sheetData>
    <row r="1" spans="1:22" ht="16.5" customHeight="1">
      <c r="A1" s="415"/>
      <c r="B1" s="880" t="s">
        <v>455</v>
      </c>
      <c r="C1" s="416"/>
      <c r="D1" s="416"/>
      <c r="E1" s="416"/>
      <c r="F1" s="416"/>
      <c r="G1" s="416"/>
      <c r="H1" s="416"/>
      <c r="I1" s="416"/>
      <c r="J1" s="416"/>
      <c r="K1" s="416"/>
      <c r="L1" s="416"/>
      <c r="M1" s="416"/>
      <c r="N1" s="416"/>
      <c r="O1" s="416"/>
      <c r="P1" s="416"/>
      <c r="Q1" s="416"/>
      <c r="R1" s="416"/>
      <c r="S1" s="416"/>
      <c r="T1" s="416"/>
      <c r="U1" s="415"/>
      <c r="V1" s="415"/>
    </row>
    <row r="2" spans="1:22" ht="11.25" customHeight="1" hidden="1">
      <c r="A2" s="415"/>
      <c r="B2" s="880"/>
      <c r="C2" s="415"/>
      <c r="D2" s="415"/>
      <c r="E2" s="415"/>
      <c r="F2" s="415"/>
      <c r="G2" s="415"/>
      <c r="H2" s="415"/>
      <c r="I2" s="415"/>
      <c r="J2" s="415"/>
      <c r="K2" s="415"/>
      <c r="L2" s="415"/>
      <c r="M2" s="415"/>
      <c r="N2" s="415"/>
      <c r="O2" s="415"/>
      <c r="P2" s="415"/>
      <c r="Q2" s="415"/>
      <c r="R2" s="415"/>
      <c r="S2" s="415"/>
      <c r="T2" s="415"/>
      <c r="U2" s="415"/>
      <c r="V2" s="415"/>
    </row>
    <row r="3" spans="1:22" ht="15.75">
      <c r="A3" s="1004"/>
      <c r="B3" s="1003"/>
      <c r="C3" s="415"/>
      <c r="D3" s="208" t="str">
        <f>Historical_data_entry_1!D2</f>
        <v>Site Name:</v>
      </c>
      <c r="E3" s="549" t="str">
        <f>Historical_data_entry_1!F2</f>
        <v>Gasoline Spill site; Table 7.2 of USEPA (2005)</v>
      </c>
      <c r="F3" s="415"/>
      <c r="G3" s="415"/>
      <c r="H3" s="415"/>
      <c r="I3" s="415"/>
      <c r="J3" s="415"/>
      <c r="K3" s="415"/>
      <c r="L3" s="415"/>
      <c r="M3" s="415"/>
      <c r="N3" s="415"/>
      <c r="O3" s="415"/>
      <c r="P3" s="415"/>
      <c r="Q3" s="415"/>
      <c r="R3" s="415"/>
      <c r="S3" s="415"/>
      <c r="T3" s="415"/>
      <c r="U3" s="415"/>
      <c r="V3" s="415"/>
    </row>
    <row r="4" spans="1:22" ht="12.75">
      <c r="A4" s="415"/>
      <c r="B4" s="415"/>
      <c r="C4" s="415"/>
      <c r="D4" s="208" t="str">
        <f>Historical_data_entry_1!D3</f>
        <v>Site Address:</v>
      </c>
      <c r="E4" s="549" t="str">
        <f>Historical_data_entry_1!F3</f>
        <v>Parsippany, NJ;</v>
      </c>
      <c r="F4" s="415"/>
      <c r="G4" s="415"/>
      <c r="H4" s="415"/>
      <c r="I4" s="415"/>
      <c r="J4" s="415"/>
      <c r="K4" s="415"/>
      <c r="L4" s="415"/>
      <c r="M4" s="415"/>
      <c r="N4" s="415"/>
      <c r="O4" s="415"/>
      <c r="P4" s="415"/>
      <c r="Q4" s="415"/>
      <c r="R4" s="415"/>
      <c r="S4" s="415"/>
      <c r="T4" s="415"/>
      <c r="U4" s="415"/>
      <c r="V4" s="415"/>
    </row>
    <row r="5" spans="1:22" ht="13.5" customHeight="1">
      <c r="A5" s="415"/>
      <c r="B5" s="415"/>
      <c r="C5" s="415"/>
      <c r="D5" s="208" t="str">
        <f>Historical_data_entry_1!D4</f>
        <v>Additional Description:</v>
      </c>
      <c r="E5" s="549" t="str">
        <f>Historical_data_entry_1!F4</f>
        <v>Gas Spill</v>
      </c>
      <c r="F5" s="415"/>
      <c r="G5" s="415"/>
      <c r="H5" s="415"/>
      <c r="I5" s="415"/>
      <c r="J5" s="415"/>
      <c r="K5" s="415"/>
      <c r="L5" s="415"/>
      <c r="M5" s="415"/>
      <c r="N5" s="415"/>
      <c r="O5" s="415"/>
      <c r="P5" s="415"/>
      <c r="Q5" s="415"/>
      <c r="R5" s="415"/>
      <c r="S5" s="415"/>
      <c r="T5" s="415"/>
      <c r="U5" s="415"/>
      <c r="V5" s="415"/>
    </row>
    <row r="6" spans="1:22" ht="12" customHeight="1" thickBot="1">
      <c r="A6" s="419"/>
      <c r="B6" s="419"/>
      <c r="C6" s="419"/>
      <c r="D6" s="211" t="str">
        <f>Historical_data_entry_1!D5</f>
        <v>Hazardous Substance</v>
      </c>
      <c r="E6" s="550" t="str">
        <f>Historical_data_entry_1!F5</f>
        <v>MTBE</v>
      </c>
      <c r="F6" s="419"/>
      <c r="G6" s="419"/>
      <c r="H6" s="419"/>
      <c r="I6" s="419"/>
      <c r="J6" s="419"/>
      <c r="K6" s="419"/>
      <c r="L6" s="419"/>
      <c r="M6" s="419"/>
      <c r="N6" s="419"/>
      <c r="O6" s="419"/>
      <c r="P6" s="419"/>
      <c r="Q6" s="419"/>
      <c r="R6" s="419"/>
      <c r="S6" s="419"/>
      <c r="T6" s="419"/>
      <c r="U6" s="419"/>
      <c r="V6" s="419"/>
    </row>
    <row r="7" spans="1:22" ht="1.5" customHeight="1" thickTop="1">
      <c r="A7" s="415"/>
      <c r="B7" s="415"/>
      <c r="C7" s="415"/>
      <c r="D7" s="415"/>
      <c r="E7" s="415"/>
      <c r="F7" s="415"/>
      <c r="G7" s="415"/>
      <c r="H7" s="415"/>
      <c r="I7" s="415"/>
      <c r="J7" s="415"/>
      <c r="K7" s="415"/>
      <c r="L7" s="415"/>
      <c r="M7" s="415"/>
      <c r="N7" s="415"/>
      <c r="O7" s="415"/>
      <c r="P7" s="415"/>
      <c r="Q7" s="415"/>
      <c r="R7" s="415"/>
      <c r="S7" s="415"/>
      <c r="T7" s="415"/>
      <c r="U7" s="415"/>
      <c r="V7" s="415"/>
    </row>
    <row r="8" spans="1:22" s="472" customFormat="1" ht="13.5" customHeight="1">
      <c r="A8" s="423"/>
      <c r="B8" s="636" t="s">
        <v>350</v>
      </c>
      <c r="C8" s="423"/>
      <c r="D8" s="423"/>
      <c r="E8" s="551"/>
      <c r="F8" s="423"/>
      <c r="G8" s="423"/>
      <c r="H8" s="1140">
        <v>0.85</v>
      </c>
      <c r="I8" s="1140"/>
      <c r="J8" s="423"/>
      <c r="K8" s="423"/>
      <c r="L8" s="423"/>
      <c r="M8" s="423"/>
      <c r="N8" s="423"/>
      <c r="O8" s="423"/>
      <c r="P8" s="423"/>
      <c r="Q8" s="423"/>
      <c r="R8" s="423"/>
      <c r="S8" s="423"/>
      <c r="T8" s="423"/>
      <c r="U8" s="423"/>
      <c r="V8" s="423"/>
    </row>
    <row r="9" spans="1:22" s="472" customFormat="1" ht="15.75" customHeight="1" thickBot="1">
      <c r="A9" s="423"/>
      <c r="B9" s="502" t="s">
        <v>365</v>
      </c>
      <c r="C9" s="423"/>
      <c r="D9" s="423"/>
      <c r="E9" s="551"/>
      <c r="F9" s="552"/>
      <c r="G9" s="552"/>
      <c r="H9" s="423"/>
      <c r="I9" s="423"/>
      <c r="J9" s="423"/>
      <c r="K9" s="423"/>
      <c r="L9" s="423"/>
      <c r="M9" s="423"/>
      <c r="N9" s="423"/>
      <c r="O9" s="423"/>
      <c r="P9" s="423"/>
      <c r="Q9" s="423"/>
      <c r="R9" s="423"/>
      <c r="S9" s="423"/>
      <c r="T9" s="423"/>
      <c r="U9" s="423"/>
      <c r="V9" s="423"/>
    </row>
    <row r="10" spans="1:22" s="472" customFormat="1" ht="18" customHeight="1" thickBot="1">
      <c r="A10" s="423"/>
      <c r="B10" s="560" t="s">
        <v>282</v>
      </c>
      <c r="C10" s="561"/>
      <c r="D10" s="561"/>
      <c r="E10" s="561"/>
      <c r="F10" s="562"/>
      <c r="G10" s="638" t="str">
        <f aca="true" t="shared" si="0" ref="G10:V10">G27</f>
        <v>MW-1</v>
      </c>
      <c r="H10" s="639" t="str">
        <f t="shared" si="0"/>
        <v>MW-2</v>
      </c>
      <c r="I10" s="639" t="str">
        <f t="shared" si="0"/>
        <v>MW-3</v>
      </c>
      <c r="J10" s="639" t="str">
        <f t="shared" si="0"/>
        <v>MW-4</v>
      </c>
      <c r="K10" s="639" t="str">
        <f t="shared" si="0"/>
        <v>NA</v>
      </c>
      <c r="L10" s="639" t="str">
        <f t="shared" si="0"/>
        <v>MW-5</v>
      </c>
      <c r="M10" s="639" t="str">
        <f t="shared" si="0"/>
        <v>MW-11</v>
      </c>
      <c r="N10" s="639" t="str">
        <f t="shared" si="0"/>
        <v>NA</v>
      </c>
      <c r="O10" s="639" t="str">
        <f t="shared" si="0"/>
        <v>MW9</v>
      </c>
      <c r="P10" s="639" t="str">
        <f t="shared" si="0"/>
        <v>MW10</v>
      </c>
      <c r="Q10" s="639" t="str">
        <f t="shared" si="0"/>
        <v>MW-20</v>
      </c>
      <c r="R10" s="639" t="str">
        <f t="shared" si="0"/>
        <v>MW12</v>
      </c>
      <c r="S10" s="639" t="str">
        <f t="shared" si="0"/>
        <v>NA</v>
      </c>
      <c r="T10" s="639" t="str">
        <f t="shared" si="0"/>
        <v>NA</v>
      </c>
      <c r="U10" s="639" t="str">
        <f t="shared" si="0"/>
        <v>NA</v>
      </c>
      <c r="V10" s="640" t="str">
        <f t="shared" si="0"/>
        <v>NA</v>
      </c>
    </row>
    <row r="11" spans="1:22" s="472" customFormat="1" ht="13.5" thickBot="1">
      <c r="A11" s="423"/>
      <c r="B11" s="1098" t="s">
        <v>289</v>
      </c>
      <c r="C11" s="1099"/>
      <c r="D11" s="1099"/>
      <c r="E11" s="1099"/>
      <c r="F11" s="1100" t="s">
        <v>19</v>
      </c>
      <c r="G11" s="1101">
        <v>50</v>
      </c>
      <c r="H11" s="1102">
        <v>5</v>
      </c>
      <c r="I11" s="1102">
        <v>5</v>
      </c>
      <c r="J11" s="1102">
        <v>5</v>
      </c>
      <c r="K11" s="1102">
        <v>5</v>
      </c>
      <c r="L11" s="1102"/>
      <c r="M11" s="1102">
        <v>40</v>
      </c>
      <c r="N11" s="1102"/>
      <c r="O11" s="1102">
        <v>56</v>
      </c>
      <c r="P11" s="1102">
        <v>50</v>
      </c>
      <c r="Q11" s="1102">
        <v>1</v>
      </c>
      <c r="R11" s="1102">
        <v>1</v>
      </c>
      <c r="S11" s="1102"/>
      <c r="T11" s="1102"/>
      <c r="U11" s="1102"/>
      <c r="V11" s="1103"/>
    </row>
    <row r="12" spans="1:22" s="472" customFormat="1" ht="12" customHeight="1" thickTop="1">
      <c r="A12" s="423"/>
      <c r="B12" s="997" t="s">
        <v>453</v>
      </c>
      <c r="C12" s="682"/>
      <c r="D12" s="682"/>
      <c r="E12" s="682"/>
      <c r="F12" s="1094"/>
      <c r="G12" s="1095"/>
      <c r="H12" s="1096"/>
      <c r="I12" s="1096"/>
      <c r="J12" s="1096"/>
      <c r="K12" s="1096"/>
      <c r="L12" s="1096"/>
      <c r="M12" s="1096"/>
      <c r="N12" s="1096"/>
      <c r="O12" s="1096"/>
      <c r="P12" s="1096"/>
      <c r="Q12" s="1096"/>
      <c r="R12" s="1096"/>
      <c r="S12" s="1096"/>
      <c r="T12" s="1096"/>
      <c r="U12" s="1096"/>
      <c r="V12" s="1097"/>
    </row>
    <row r="13" spans="1:22" s="472" customFormat="1" ht="12.75">
      <c r="A13" s="423"/>
      <c r="B13" s="478" t="s">
        <v>290</v>
      </c>
      <c r="C13" s="442"/>
      <c r="D13" s="442"/>
      <c r="E13" s="442"/>
      <c r="F13" s="568" t="s">
        <v>287</v>
      </c>
      <c r="G13" s="641">
        <f>IF(ISERROR(AtteuationRate_calc!H108),"NA",AtteuationRate_calc!H108)</f>
        <v>24.593594148395237</v>
      </c>
      <c r="H13" s="642">
        <f>IF(ISERROR(AtteuationRate_calc!I108),"NA",AtteuationRate_calc!I108)</f>
        <v>7.118505244237876</v>
      </c>
      <c r="I13" s="642">
        <f>IF(ISERROR(AtteuationRate_calc!J108),"NA",AtteuationRate_calc!J108)</f>
        <v>5.9194801485080335</v>
      </c>
      <c r="J13" s="642" t="str">
        <f>IF(ISERROR(AtteuationRate_calc!K108),"NA",AtteuationRate_calc!K108)</f>
        <v>NA</v>
      </c>
      <c r="K13" s="642" t="str">
        <f>IF(ISERROR(AtteuationRate_calc!L108),"NA",AtteuationRate_calc!L108)</f>
        <v>NA</v>
      </c>
      <c r="L13" s="642" t="str">
        <f>IF(ISERROR(AtteuationRate_calc!M108),"NA",AtteuationRate_calc!M108)</f>
        <v>NA</v>
      </c>
      <c r="M13" s="642">
        <f>IF(ISERROR(AtteuationRate_calc!N108),"NA",AtteuationRate_calc!N108)</f>
        <v>9.978254692986988</v>
      </c>
      <c r="N13" s="642" t="str">
        <f>IF(ISERROR(AtteuationRate_calc!O108),"NA",AtteuationRate_calc!O108)</f>
        <v>NA</v>
      </c>
      <c r="O13" s="642" t="str">
        <f>IF(ISERROR(AtteuationRate_calc!P108),"NA",AtteuationRate_calc!P108)</f>
        <v>NA</v>
      </c>
      <c r="P13" s="642" t="str">
        <f>IF(ISERROR(AtteuationRate_calc!Q108),"NA",AtteuationRate_calc!Q108)</f>
        <v>NA</v>
      </c>
      <c r="Q13" s="642">
        <f>IF(ISERROR(AtteuationRate_calc!R108),"NA",AtteuationRate_calc!R108)</f>
        <v>3.3219162208296096</v>
      </c>
      <c r="R13" s="642">
        <f>IF(ISERROR(AtteuationRate_calc!S108),"NA",AtteuationRate_calc!S108)</f>
        <v>4.102795202269515</v>
      </c>
      <c r="S13" s="642" t="str">
        <f>IF(ISERROR(AtteuationRate_calc!T108),"NA",AtteuationRate_calc!T108)</f>
        <v>NA</v>
      </c>
      <c r="T13" s="642" t="str">
        <f>IF(ISERROR(AtteuationRate_calc!U108),"NA",AtteuationRate_calc!U108)</f>
        <v>NA</v>
      </c>
      <c r="U13" s="642" t="str">
        <f>IF(ISERROR(AtteuationRate_calc!V108),"NA",AtteuationRate_calc!V108)</f>
        <v>NA</v>
      </c>
      <c r="V13" s="643" t="str">
        <f>IF(ISERROR(AtteuationRate_calc!W108),"NA",AtteuationRate_calc!W108)</f>
        <v>NA</v>
      </c>
    </row>
    <row r="14" spans="1:22" s="472" customFormat="1" ht="12.75">
      <c r="A14" s="423"/>
      <c r="B14" s="485" t="s">
        <v>364</v>
      </c>
      <c r="C14" s="443"/>
      <c r="D14" s="443"/>
      <c r="E14" s="443"/>
      <c r="F14" s="993" t="s">
        <v>15</v>
      </c>
      <c r="G14" s="994">
        <f>IF(ISERROR(AtteuationRate_calc!H109),"NA",AtteuationRate_calc!H109)</f>
        <v>43016.66186416426</v>
      </c>
      <c r="H14" s="995">
        <f>IF(ISERROR(AtteuationRate_calc!I109),"NA",AtteuationRate_calc!I109)</f>
        <v>36638.254414146824</v>
      </c>
      <c r="I14" s="995">
        <f>IF(ISERROR(AtteuationRate_calc!J109),"NA",AtteuationRate_calc!J109)</f>
        <v>36200.61025420543</v>
      </c>
      <c r="J14" s="995" t="str">
        <f>IF(ISERROR(AtteuationRate_calc!K109),"NA",AtteuationRate_calc!K109)</f>
        <v>NA</v>
      </c>
      <c r="K14" s="995" t="str">
        <f>IF(ISERROR(AtteuationRate_calc!L109),"NA",AtteuationRate_calc!L109)</f>
        <v>NA</v>
      </c>
      <c r="L14" s="995" t="str">
        <f>IF(ISERROR(AtteuationRate_calc!M109),"NA",AtteuationRate_calc!M109)</f>
        <v>NA</v>
      </c>
      <c r="M14" s="995">
        <f>IF(ISERROR(AtteuationRate_calc!N109),"NA",AtteuationRate_calc!N109)</f>
        <v>37682.062962940254</v>
      </c>
      <c r="N14" s="995" t="str">
        <f>IF(ISERROR(AtteuationRate_calc!O109),"NA",AtteuationRate_calc!O109)</f>
        <v>NA</v>
      </c>
      <c r="O14" s="995" t="str">
        <f>IF(ISERROR(AtteuationRate_calc!P109),"NA",AtteuationRate_calc!P109)</f>
        <v>NA</v>
      </c>
      <c r="P14" s="995" t="str">
        <f>IF(ISERROR(AtteuationRate_calc!Q109),"NA",AtteuationRate_calc!Q109)</f>
        <v>NA</v>
      </c>
      <c r="Q14" s="995">
        <f>IF(ISERROR(AtteuationRate_calc!R109),"NA",AtteuationRate_calc!R109)</f>
        <v>35252.499420602806</v>
      </c>
      <c r="R14" s="995">
        <f>IF(ISERROR(AtteuationRate_calc!S109),"NA",AtteuationRate_calc!S109)</f>
        <v>35537.520248828376</v>
      </c>
      <c r="S14" s="995" t="str">
        <f>IF(ISERROR(AtteuationRate_calc!T109),"NA",AtteuationRate_calc!T109)</f>
        <v>NA</v>
      </c>
      <c r="T14" s="995" t="str">
        <f>IF(ISERROR(AtteuationRate_calc!U109),"NA",AtteuationRate_calc!U109)</f>
        <v>NA</v>
      </c>
      <c r="U14" s="995" t="str">
        <f>IF(ISERROR(AtteuationRate_calc!V109),"NA",AtteuationRate_calc!V109)</f>
        <v>NA</v>
      </c>
      <c r="V14" s="996" t="str">
        <f>IF(ISERROR(AtteuationRate_calc!W109),"NA",AtteuationRate_calc!W109)</f>
        <v>NA</v>
      </c>
    </row>
    <row r="15" spans="1:22" s="472" customFormat="1" ht="12.75">
      <c r="A15" s="423"/>
      <c r="B15" s="987" t="str">
        <f>"A.2 Boundary  (@"&amp;SigLevel_LinReg*100&amp;"% CL)"</f>
        <v>A.2 Boundary  (@85% CL)</v>
      </c>
      <c r="C15" s="988"/>
      <c r="D15" s="988"/>
      <c r="E15" s="988"/>
      <c r="F15" s="989"/>
      <c r="G15" s="990"/>
      <c r="H15" s="991"/>
      <c r="I15" s="991"/>
      <c r="J15" s="991"/>
      <c r="K15" s="991"/>
      <c r="L15" s="991"/>
      <c r="M15" s="991"/>
      <c r="N15" s="991"/>
      <c r="O15" s="991"/>
      <c r="P15" s="991"/>
      <c r="Q15" s="991"/>
      <c r="R15" s="991"/>
      <c r="S15" s="991"/>
      <c r="T15" s="991"/>
      <c r="U15" s="991"/>
      <c r="V15" s="992"/>
    </row>
    <row r="16" spans="1:22" s="472" customFormat="1" ht="15.75">
      <c r="A16" s="423"/>
      <c r="B16" s="478" t="s">
        <v>301</v>
      </c>
      <c r="C16" s="456"/>
      <c r="D16" s="456"/>
      <c r="E16" s="456"/>
      <c r="F16" s="568" t="s">
        <v>287</v>
      </c>
      <c r="G16" s="645">
        <f>IF(ISERROR(AtteuationRate_calc!H112),"NA",AtteuationRate_calc!H112)</f>
        <v>31.305360892874468</v>
      </c>
      <c r="H16" s="646">
        <f>IF(ISERROR(AtteuationRate_calc!I112),"NA",AtteuationRate_calc!I112)</f>
        <v>8.253538185797114</v>
      </c>
      <c r="I16" s="646">
        <f>IF(ISERROR(AtteuationRate_calc!J112),"NA",AtteuationRate_calc!J112)</f>
        <v>7.004540078724325</v>
      </c>
      <c r="J16" s="646" t="str">
        <f>IF(ISERROR(AtteuationRate_calc!K112),"NA",AtteuationRate_calc!K112)</f>
        <v>NA</v>
      </c>
      <c r="K16" s="646" t="str">
        <f>IF(ISERROR(AtteuationRate_calc!L112),"NA",AtteuationRate_calc!L112)</f>
        <v>NA</v>
      </c>
      <c r="L16" s="646" t="str">
        <f>IF(ISERROR(AtteuationRate_calc!M112),"NA",AtteuationRate_calc!M112)</f>
        <v>NA</v>
      </c>
      <c r="M16" s="646">
        <f>IF(ISERROR(AtteuationRate_calc!N112),"NA",AtteuationRate_calc!N112)</f>
        <v>11.95865293276669</v>
      </c>
      <c r="N16" s="646" t="str">
        <f>IF(ISERROR(AtteuationRate_calc!O112),"NA",AtteuationRate_calc!O112)</f>
        <v>NA</v>
      </c>
      <c r="O16" s="646" t="str">
        <f>IF(ISERROR(AtteuationRate_calc!P112),"NA",AtteuationRate_calc!P112)</f>
        <v>NA</v>
      </c>
      <c r="P16" s="646" t="str">
        <f>IF(ISERROR(AtteuationRate_calc!Q112),"NA",AtteuationRate_calc!Q112)</f>
        <v>NA</v>
      </c>
      <c r="Q16" s="646">
        <f>IF(ISERROR(AtteuationRate_calc!R112),"NA",AtteuationRate_calc!R112)</f>
        <v>3.6783631824525265</v>
      </c>
      <c r="R16" s="646">
        <f>IF(ISERROR(AtteuationRate_calc!S112),"NA",AtteuationRate_calc!S112)</f>
        <v>5.352245586295632</v>
      </c>
      <c r="S16" s="646" t="str">
        <f>IF(ISERROR(AtteuationRate_calc!T112),"NA",AtteuationRate_calc!T112)</f>
        <v>NA</v>
      </c>
      <c r="T16" s="646" t="str">
        <f>IF(ISERROR(AtteuationRate_calc!U112),"NA",AtteuationRate_calc!U112)</f>
        <v>NA</v>
      </c>
      <c r="U16" s="646" t="str">
        <f>IF(ISERROR(AtteuationRate_calc!V112),"NA",AtteuationRate_calc!V112)</f>
        <v>NA</v>
      </c>
      <c r="V16" s="647" t="str">
        <f>IF(ISERROR(AtteuationRate_calc!W112),"NA",AtteuationRate_calc!W112)</f>
        <v>NA</v>
      </c>
    </row>
    <row r="17" spans="1:22" s="538" customFormat="1" ht="13.5" thickBot="1">
      <c r="A17" s="453"/>
      <c r="B17" s="569" t="s">
        <v>364</v>
      </c>
      <c r="C17" s="451"/>
      <c r="D17" s="451"/>
      <c r="E17" s="451"/>
      <c r="F17" s="570" t="s">
        <v>15</v>
      </c>
      <c r="G17" s="648">
        <f>IF(ISERROR(AtteuationRate_calc!H113),"NA",AtteuationRate_calc!H113)</f>
        <v>45466.45672589918</v>
      </c>
      <c r="H17" s="649">
        <f>IF(ISERROR(AtteuationRate_calc!I113),"NA",AtteuationRate_calc!I113)</f>
        <v>37052.54143781595</v>
      </c>
      <c r="I17" s="649">
        <f>IF(ISERROR(AtteuationRate_calc!J113),"NA",AtteuationRate_calc!J113)</f>
        <v>36596.657128734376</v>
      </c>
      <c r="J17" s="649" t="str">
        <f>IF(ISERROR(AtteuationRate_calc!K113),"NA",AtteuationRate_calc!K113)</f>
        <v>NA</v>
      </c>
      <c r="K17" s="649" t="str">
        <f>IF(ISERROR(AtteuationRate_calc!L113),"NA",AtteuationRate_calc!L113)</f>
        <v>NA</v>
      </c>
      <c r="L17" s="649" t="str">
        <f>IF(ISERROR(AtteuationRate_calc!M113),"NA",AtteuationRate_calc!M113)</f>
        <v>NA</v>
      </c>
      <c r="M17" s="649">
        <f>IF(ISERROR(AtteuationRate_calc!N113),"NA",AtteuationRate_calc!N113)</f>
        <v>38404.90832045984</v>
      </c>
      <c r="N17" s="649" t="str">
        <f>IF(ISERROR(AtteuationRate_calc!O113),"NA",AtteuationRate_calc!O113)</f>
        <v>NA</v>
      </c>
      <c r="O17" s="649" t="str">
        <f>IF(ISERROR(AtteuationRate_calc!P113),"NA",AtteuationRate_calc!P113)</f>
        <v>NA</v>
      </c>
      <c r="P17" s="649" t="str">
        <f>IF(ISERROR(AtteuationRate_calc!Q113),"NA",AtteuationRate_calc!Q113)</f>
        <v>NA</v>
      </c>
      <c r="Q17" s="649">
        <f>IF(ISERROR(AtteuationRate_calc!R113),"NA",AtteuationRate_calc!R113)</f>
        <v>35382.60256159517</v>
      </c>
      <c r="R17" s="649">
        <f>IF(ISERROR(AtteuationRate_calc!S113),"NA",AtteuationRate_calc!S113)</f>
        <v>35993.569638997906</v>
      </c>
      <c r="S17" s="649" t="str">
        <f>IF(ISERROR(AtteuationRate_calc!T113),"NA",AtteuationRate_calc!T113)</f>
        <v>NA</v>
      </c>
      <c r="T17" s="649" t="str">
        <f>IF(ISERROR(AtteuationRate_calc!U113),"NA",AtteuationRate_calc!U113)</f>
        <v>NA</v>
      </c>
      <c r="U17" s="649" t="str">
        <f>IF(ISERROR(AtteuationRate_calc!V113),"NA",AtteuationRate_calc!V113)</f>
        <v>NA</v>
      </c>
      <c r="V17" s="650" t="str">
        <f>IF(ISERROR(AtteuationRate_calc!W113),"NA",AtteuationRate_calc!W113)</f>
        <v>NA</v>
      </c>
    </row>
    <row r="18" spans="1:22" s="538" customFormat="1" ht="6.75" customHeight="1" thickBot="1">
      <c r="A18" s="453"/>
      <c r="B18" s="564"/>
      <c r="C18" s="565"/>
      <c r="D18" s="565"/>
      <c r="E18" s="565"/>
      <c r="F18" s="565"/>
      <c r="G18" s="651"/>
      <c r="H18" s="651"/>
      <c r="I18" s="651"/>
      <c r="J18" s="651"/>
      <c r="K18" s="651"/>
      <c r="L18" s="651"/>
      <c r="M18" s="651"/>
      <c r="N18" s="651"/>
      <c r="O18" s="651"/>
      <c r="P18" s="651"/>
      <c r="Q18" s="651"/>
      <c r="R18" s="651"/>
      <c r="S18" s="651"/>
      <c r="T18" s="651"/>
      <c r="U18" s="651"/>
      <c r="V18" s="652"/>
    </row>
    <row r="19" spans="1:22" s="472" customFormat="1" ht="15" customHeight="1" thickBot="1">
      <c r="A19" s="423"/>
      <c r="B19" s="1098" t="s">
        <v>291</v>
      </c>
      <c r="C19" s="1099"/>
      <c r="D19" s="1099"/>
      <c r="E19" s="1099"/>
      <c r="F19" s="1100" t="s">
        <v>15</v>
      </c>
      <c r="G19" s="1110">
        <v>39949</v>
      </c>
      <c r="H19" s="1111">
        <v>38353</v>
      </c>
      <c r="I19" s="1111">
        <v>38353</v>
      </c>
      <c r="J19" s="1111">
        <v>38353</v>
      </c>
      <c r="K19" s="1111">
        <v>38353</v>
      </c>
      <c r="L19" s="1111"/>
      <c r="M19" s="1111"/>
      <c r="N19" s="1111"/>
      <c r="O19" s="1111">
        <v>38354</v>
      </c>
      <c r="P19" s="1111">
        <v>39449</v>
      </c>
      <c r="Q19" s="1111">
        <v>36045</v>
      </c>
      <c r="R19" s="1111">
        <v>36045</v>
      </c>
      <c r="S19" s="1111"/>
      <c r="T19" s="1111"/>
      <c r="U19" s="1111"/>
      <c r="V19" s="1112"/>
    </row>
    <row r="20" spans="1:22" s="554" customFormat="1" ht="15" customHeight="1" thickTop="1">
      <c r="A20" s="553"/>
      <c r="B20" s="1104" t="s">
        <v>452</v>
      </c>
      <c r="C20" s="1105"/>
      <c r="D20" s="1105"/>
      <c r="E20" s="1105"/>
      <c r="F20" s="1106" t="s">
        <v>19</v>
      </c>
      <c r="G20" s="1107">
        <f>IF(ISBLANK(G19),"NA",AtteuationRate_calc!H120)</f>
        <v>282.56450348672706</v>
      </c>
      <c r="H20" s="1108">
        <f>IF(ISBLANK(H19),"NA",AtteuationRate_calc!I120)</f>
        <v>0.03467312362439743</v>
      </c>
      <c r="I20" s="1108">
        <f>IF(ISBLANK(I19),"NA",AtteuationRate_calc!J120)</f>
        <v>0.03740148570913957</v>
      </c>
      <c r="J20" s="1108" t="str">
        <f>IF(ISBLANK(J19),"NA",AtteuationRate_calc!K120)</f>
        <v>NA</v>
      </c>
      <c r="K20" s="1108" t="e">
        <f>IF(ISBLANK(K19),"NA",AtteuationRate_calc!L120)</f>
        <v>#DIV/0!</v>
      </c>
      <c r="L20" s="1108" t="str">
        <f>IF(ISBLANK(L19),"NA",AtteuationRate_calc!M120)</f>
        <v>NA</v>
      </c>
      <c r="M20" s="1108" t="str">
        <f>IF(ISBLANK(M19),"NA",AtteuationRate_calc!N120)</f>
        <v>NA</v>
      </c>
      <c r="N20" s="1108" t="str">
        <f>IF(ISBLANK(N19),"NA",AtteuationRate_calc!O120)</f>
        <v>NA</v>
      </c>
      <c r="O20" s="1108" t="str">
        <f>IF(ISBLANK(O19),"NA",AtteuationRate_calc!P120)</f>
        <v>NA</v>
      </c>
      <c r="P20" s="1108" t="str">
        <f>IF(ISBLANK(P19),"NA",AtteuationRate_calc!Q120)</f>
        <v>NA</v>
      </c>
      <c r="Q20" s="1108">
        <f>IF(ISBLANK(Q19),"NA",AtteuationRate_calc!R120)</f>
        <v>0.008409292048308334</v>
      </c>
      <c r="R20" s="1108">
        <f>IF(ISBLANK(R19),"NA",AtteuationRate_calc!S120)</f>
        <v>0.12853014629011525</v>
      </c>
      <c r="S20" s="1108" t="str">
        <f>IF(ISBLANK(S19),"NA",AtteuationRate_calc!T120)</f>
        <v>NA</v>
      </c>
      <c r="T20" s="1108" t="str">
        <f>IF(ISBLANK(T19),"NA",AtteuationRate_calc!U120)</f>
        <v>NA</v>
      </c>
      <c r="U20" s="1108" t="str">
        <f>IF(ISBLANK(U19),"NA",AtteuationRate_calc!V120)</f>
        <v>NA</v>
      </c>
      <c r="V20" s="1109" t="str">
        <f>IF(ISBLANK(V19),"NA",AtteuationRate_calc!W120)</f>
        <v>NA</v>
      </c>
    </row>
    <row r="21" spans="1:22" s="554" customFormat="1" ht="16.5" customHeight="1" thickBot="1">
      <c r="A21" s="553"/>
      <c r="B21" s="1141" t="str">
        <f>"B.2 Boundary conc predicted (@"&amp;SigLevel_LinReg*100&amp;"% CL) "</f>
        <v>B.2 Boundary conc predicted (@85% CL) </v>
      </c>
      <c r="C21" s="1142"/>
      <c r="D21" s="1142"/>
      <c r="E21" s="1142"/>
      <c r="F21" s="571" t="s">
        <v>19</v>
      </c>
      <c r="G21" s="1005">
        <f>IF(ISBLANK(G19),"NA",AtteuationRate_calc!H122)</f>
        <v>577.7452566930639</v>
      </c>
      <c r="H21" s="1006">
        <f>IF(ISBLANK(H19),"NA",AtteuationRate_calc!I122)</f>
        <v>0.19354360780545582</v>
      </c>
      <c r="I21" s="1006">
        <f>IF(ISBLANK(I19),"NA",AtteuationRate_calc!J122)</f>
        <v>0.17093895943281237</v>
      </c>
      <c r="J21" s="1006" t="str">
        <f>IF(ISBLANK(J19),"NA",AtteuationRate_calc!K122)</f>
        <v>NA</v>
      </c>
      <c r="K21" s="1006" t="e">
        <f>IF(ISBLANK(K19),"NA",AtteuationRate_calc!L122)</f>
        <v>#DIV/0!</v>
      </c>
      <c r="L21" s="1006" t="str">
        <f>IF(ISBLANK(L19),"NA",AtteuationRate_calc!M122)</f>
        <v>NA</v>
      </c>
      <c r="M21" s="1006" t="str">
        <f>IF(ISBLANK(M19),"NA",AtteuationRate_calc!N122)</f>
        <v>NA</v>
      </c>
      <c r="N21" s="1006" t="str">
        <f>IF(ISBLANK(N19),"NA",AtteuationRate_calc!O122)</f>
        <v>NA</v>
      </c>
      <c r="O21" s="1006" t="str">
        <f>IF(ISBLANK(O19),"NA",AtteuationRate_calc!P122)</f>
        <v>NA</v>
      </c>
      <c r="P21" s="1006" t="str">
        <f>IF(ISBLANK(P19),"NA",AtteuationRate_calc!Q122)</f>
        <v>NA</v>
      </c>
      <c r="Q21" s="1006">
        <f>IF(ISBLANK(Q19),"NA",AtteuationRate_calc!R122)</f>
        <v>0.027135125779632802</v>
      </c>
      <c r="R21" s="1006">
        <f>IF(ISBLANK(R19),"NA",AtteuationRate_calc!S122)</f>
        <v>0.8526717208631829</v>
      </c>
      <c r="S21" s="1006" t="str">
        <f>IF(ISBLANK(S19),"NA",AtteuationRate_calc!T122)</f>
        <v>NA</v>
      </c>
      <c r="T21" s="1006" t="str">
        <f>IF(ISBLANK(T19),"NA",AtteuationRate_calc!U122)</f>
        <v>NA</v>
      </c>
      <c r="U21" s="1006" t="str">
        <f>IF(ISBLANK(U19),"NA",AtteuationRate_calc!V122)</f>
        <v>NA</v>
      </c>
      <c r="V21" s="1007" t="str">
        <f>IF(ISBLANK(V19),"NA",AtteuationRate_calc!W122)</f>
        <v>NA</v>
      </c>
    </row>
    <row r="22" spans="1:22" s="472" customFormat="1" ht="15" customHeight="1" hidden="1">
      <c r="A22" s="423"/>
      <c r="B22" s="572"/>
      <c r="C22" s="534"/>
      <c r="D22" s="534"/>
      <c r="E22" s="534"/>
      <c r="F22" s="534"/>
      <c r="G22" s="566"/>
      <c r="H22" s="566"/>
      <c r="I22" s="566"/>
      <c r="J22" s="566"/>
      <c r="K22" s="566"/>
      <c r="L22" s="566"/>
      <c r="M22" s="566"/>
      <c r="N22" s="566"/>
      <c r="O22" s="566"/>
      <c r="P22" s="566"/>
      <c r="Q22" s="566"/>
      <c r="R22" s="566"/>
      <c r="S22" s="566"/>
      <c r="T22" s="566"/>
      <c r="U22" s="566"/>
      <c r="V22" s="566"/>
    </row>
    <row r="23" spans="1:22" s="472" customFormat="1" ht="15" customHeight="1" hidden="1">
      <c r="A23" s="423"/>
      <c r="B23" s="423"/>
      <c r="C23" s="423"/>
      <c r="D23" s="423"/>
      <c r="E23" s="423"/>
      <c r="F23" s="423"/>
      <c r="G23" s="436"/>
      <c r="H23" s="436"/>
      <c r="I23" s="436"/>
      <c r="J23" s="436"/>
      <c r="K23" s="436"/>
      <c r="L23" s="436"/>
      <c r="M23" s="436"/>
      <c r="N23" s="436"/>
      <c r="O23" s="436"/>
      <c r="P23" s="436"/>
      <c r="Q23" s="436"/>
      <c r="R23" s="436"/>
      <c r="S23" s="436"/>
      <c r="T23" s="436"/>
      <c r="U23" s="436"/>
      <c r="V23" s="436"/>
    </row>
    <row r="24" spans="1:22" s="472" customFormat="1" ht="15" customHeight="1" hidden="1">
      <c r="A24" s="423"/>
      <c r="B24" s="423"/>
      <c r="C24" s="423"/>
      <c r="D24" s="423"/>
      <c r="E24" s="423"/>
      <c r="F24" s="423"/>
      <c r="G24" s="436"/>
      <c r="H24" s="436"/>
      <c r="I24" s="436"/>
      <c r="J24" s="436"/>
      <c r="K24" s="436"/>
      <c r="L24" s="436"/>
      <c r="M24" s="436"/>
      <c r="N24" s="436"/>
      <c r="O24" s="436"/>
      <c r="P24" s="436"/>
      <c r="Q24" s="436"/>
      <c r="R24" s="436"/>
      <c r="S24" s="436"/>
      <c r="T24" s="436"/>
      <c r="U24" s="436"/>
      <c r="V24" s="436"/>
    </row>
    <row r="25" spans="1:22" s="472" customFormat="1" ht="15" customHeight="1" hidden="1">
      <c r="A25" s="423"/>
      <c r="B25" s="423"/>
      <c r="C25" s="423"/>
      <c r="D25" s="423"/>
      <c r="E25" s="423"/>
      <c r="F25" s="423"/>
      <c r="G25" s="436"/>
      <c r="H25" s="436"/>
      <c r="I25" s="436"/>
      <c r="J25" s="436"/>
      <c r="K25" s="436"/>
      <c r="L25" s="436"/>
      <c r="M25" s="436"/>
      <c r="N25" s="436"/>
      <c r="O25" s="436"/>
      <c r="P25" s="436"/>
      <c r="Q25" s="436"/>
      <c r="R25" s="436"/>
      <c r="S25" s="436"/>
      <c r="T25" s="436"/>
      <c r="U25" s="436"/>
      <c r="V25" s="436"/>
    </row>
    <row r="26" spans="1:22" s="472" customFormat="1" ht="15" customHeight="1" hidden="1" thickBot="1">
      <c r="A26" s="423"/>
      <c r="B26" s="573"/>
      <c r="C26" s="492"/>
      <c r="D26" s="492"/>
      <c r="E26" s="492"/>
      <c r="F26" s="492"/>
      <c r="G26" s="559"/>
      <c r="H26" s="559"/>
      <c r="I26" s="559"/>
      <c r="J26" s="559"/>
      <c r="K26" s="559"/>
      <c r="L26" s="559"/>
      <c r="M26" s="559"/>
      <c r="N26" s="559"/>
      <c r="O26" s="559"/>
      <c r="P26" s="559"/>
      <c r="Q26" s="559"/>
      <c r="R26" s="559"/>
      <c r="S26" s="559"/>
      <c r="T26" s="559"/>
      <c r="U26" s="559"/>
      <c r="V26" s="559"/>
    </row>
    <row r="27" spans="1:22" ht="12.75" hidden="1">
      <c r="A27" s="415"/>
      <c r="B27" s="458" t="str">
        <f>Historical_data_entry_1!C9</f>
        <v>Well Location:</v>
      </c>
      <c r="C27" s="430"/>
      <c r="D27" s="430"/>
      <c r="E27" s="430"/>
      <c r="F27" s="431"/>
      <c r="G27" s="534" t="str">
        <f>IF(ISBLANK(Historical_data_entry_1!H9),"NA",Historical_data_entry_1!H9)</f>
        <v>MW-1</v>
      </c>
      <c r="H27" s="534" t="str">
        <f>IF(ISBLANK(Historical_data_entry_1!I9),"NA",Historical_data_entry_1!I9)</f>
        <v>MW-2</v>
      </c>
      <c r="I27" s="534" t="str">
        <f>IF(ISBLANK(Historical_data_entry_1!J9),"NA",Historical_data_entry_1!J9)</f>
        <v>MW-3</v>
      </c>
      <c r="J27" s="534" t="str">
        <f>IF(ISBLANK(Historical_data_entry_1!K9),"NA",Historical_data_entry_1!K9)</f>
        <v>MW-4</v>
      </c>
      <c r="K27" s="534" t="str">
        <f>IF(ISBLANK(Historical_data_entry_1!L9),"NA",Historical_data_entry_1!L9)</f>
        <v>NA</v>
      </c>
      <c r="L27" s="534" t="str">
        <f>IF(ISBLANK(Historical_data_entry_1!M9),"NA",Historical_data_entry_1!M9)</f>
        <v>MW-5</v>
      </c>
      <c r="M27" s="534" t="str">
        <f>IF(ISBLANK(Historical_data_entry_1!N9),"NA",Historical_data_entry_1!N9)</f>
        <v>MW-11</v>
      </c>
      <c r="N27" s="534" t="str">
        <f>IF(ISBLANK(Historical_data_entry_1!O9),"NA",Historical_data_entry_1!O9)</f>
        <v>NA</v>
      </c>
      <c r="O27" s="534" t="str">
        <f>IF(ISBLANK(Historical_data_entry_1!P9),"NA",Historical_data_entry_1!P9)</f>
        <v>MW9</v>
      </c>
      <c r="P27" s="534" t="str">
        <f>IF(ISBLANK(Historical_data_entry_1!Q9),"NA",Historical_data_entry_1!Q9)</f>
        <v>MW10</v>
      </c>
      <c r="Q27" s="534" t="str">
        <f>IF(ISBLANK(Historical_data_entry_1!R9),"NA",Historical_data_entry_1!R9)</f>
        <v>MW-20</v>
      </c>
      <c r="R27" s="534" t="str">
        <f>IF(ISBLANK(Historical_data_entry_1!S9),"NA",Historical_data_entry_1!S9)</f>
        <v>MW12</v>
      </c>
      <c r="S27" s="534" t="str">
        <f>IF(ISBLANK(Historical_data_entry_1!T9),"NA",Historical_data_entry_1!T9)</f>
        <v>NA</v>
      </c>
      <c r="T27" s="534" t="str">
        <f>IF(ISBLANK(Historical_data_entry_1!U9),"NA",Historical_data_entry_1!U9)</f>
        <v>NA</v>
      </c>
      <c r="U27" s="534" t="str">
        <f>IF(ISBLANK(Historical_data_entry_1!V9),"NA",Historical_data_entry_1!V9)</f>
        <v>NA</v>
      </c>
      <c r="V27" s="563" t="str">
        <f>IF(ISBLANK(Historical_data_entry_1!W9),"NA",Historical_data_entry_1!W9)</f>
        <v>NA</v>
      </c>
    </row>
    <row r="28" spans="1:22" ht="13.5" customHeight="1" hidden="1">
      <c r="A28" s="415"/>
      <c r="B28" s="437" t="s">
        <v>140</v>
      </c>
      <c r="C28" s="423" t="s">
        <v>166</v>
      </c>
      <c r="D28" s="423"/>
      <c r="E28" s="423"/>
      <c r="F28" s="459"/>
      <c r="G28" s="766" t="s">
        <v>174</v>
      </c>
      <c r="H28" s="502"/>
      <c r="I28" s="502"/>
      <c r="J28" s="502"/>
      <c r="K28" s="502"/>
      <c r="L28" s="502"/>
      <c r="M28" s="502"/>
      <c r="N28" s="502"/>
      <c r="O28" s="502"/>
      <c r="P28" s="502"/>
      <c r="Q28" s="502"/>
      <c r="R28" s="502"/>
      <c r="S28" s="502"/>
      <c r="T28" s="502"/>
      <c r="U28" s="502"/>
      <c r="V28" s="767"/>
    </row>
    <row r="29" spans="1:22" ht="12.75" hidden="1">
      <c r="A29" s="415"/>
      <c r="B29" s="555" t="str">
        <f>AtteuationRate_calc!B14</f>
        <v>#1</v>
      </c>
      <c r="C29" s="447">
        <f>AtteuationRate_calc!F14</f>
        <v>34040</v>
      </c>
      <c r="D29" s="423"/>
      <c r="E29" s="423"/>
      <c r="F29" s="459"/>
      <c r="G29" s="436">
        <f>AtteuationRate_calc!H14</f>
        <v>8560</v>
      </c>
      <c r="H29" s="436">
        <f>AtteuationRate_calc!I14</f>
        <v>4260</v>
      </c>
      <c r="I29" s="436">
        <f>AtteuationRate_calc!J14</f>
        <v>458</v>
      </c>
      <c r="J29" s="436">
        <f>AtteuationRate_calc!K14</f>
        <v>20</v>
      </c>
      <c r="K29" s="436" t="str">
        <f>AtteuationRate_calc!L14</f>
        <v>na</v>
      </c>
      <c r="L29" s="436">
        <f>AtteuationRate_calc!M14</f>
        <v>1500</v>
      </c>
      <c r="M29" s="436" t="str">
        <f>AtteuationRate_calc!N14</f>
        <v>na</v>
      </c>
      <c r="N29" s="436" t="str">
        <f>AtteuationRate_calc!O14</f>
        <v>na</v>
      </c>
      <c r="O29" s="436">
        <f>AtteuationRate_calc!P14</f>
        <v>200</v>
      </c>
      <c r="P29" s="436">
        <f>AtteuationRate_calc!Q14</f>
        <v>450</v>
      </c>
      <c r="Q29" s="436">
        <f>AtteuationRate_calc!R14</f>
        <v>1000</v>
      </c>
      <c r="R29" s="436">
        <f>AtteuationRate_calc!S14</f>
        <v>1000</v>
      </c>
      <c r="S29" s="436" t="str">
        <f>AtteuationRate_calc!T14</f>
        <v>na</v>
      </c>
      <c r="T29" s="436" t="str">
        <f>AtteuationRate_calc!U14</f>
        <v>na</v>
      </c>
      <c r="U29" s="436" t="str">
        <f>AtteuationRate_calc!V14</f>
        <v>na</v>
      </c>
      <c r="V29" s="477" t="str">
        <f>AtteuationRate_calc!W14</f>
        <v>na</v>
      </c>
    </row>
    <row r="30" spans="1:22" ht="12.75" hidden="1">
      <c r="A30" s="415"/>
      <c r="B30" s="555" t="str">
        <f>AtteuationRate_calc!B15</f>
        <v>#2</v>
      </c>
      <c r="C30" s="447">
        <f>AtteuationRate_calc!F15</f>
        <v>34100</v>
      </c>
      <c r="D30" s="423"/>
      <c r="E30" s="423"/>
      <c r="F30" s="459"/>
      <c r="G30" s="436">
        <f>AtteuationRate_calc!H15</f>
        <v>4567</v>
      </c>
      <c r="H30" s="436">
        <f>AtteuationRate_calc!I15</f>
        <v>5600</v>
      </c>
      <c r="I30" s="436">
        <f>AtteuationRate_calc!J15</f>
        <v>289</v>
      </c>
      <c r="J30" s="436">
        <f>AtteuationRate_calc!K15</f>
        <v>35</v>
      </c>
      <c r="K30" s="436" t="str">
        <f>AtteuationRate_calc!L15</f>
        <v>na</v>
      </c>
      <c r="L30" s="436" t="str">
        <f>AtteuationRate_calc!M15</f>
        <v>na</v>
      </c>
      <c r="M30" s="436" t="str">
        <f>AtteuationRate_calc!N15</f>
        <v>na</v>
      </c>
      <c r="N30" s="436" t="str">
        <f>AtteuationRate_calc!O15</f>
        <v>na</v>
      </c>
      <c r="O30" s="436">
        <f>AtteuationRate_calc!P15</f>
        <v>490</v>
      </c>
      <c r="P30" s="436">
        <f>AtteuationRate_calc!Q15</f>
        <v>490</v>
      </c>
      <c r="Q30" s="436" t="str">
        <f>AtteuationRate_calc!R15</f>
        <v>na</v>
      </c>
      <c r="R30" s="436" t="str">
        <f>AtteuationRate_calc!S15</f>
        <v>na</v>
      </c>
      <c r="S30" s="436" t="str">
        <f>AtteuationRate_calc!T15</f>
        <v>na</v>
      </c>
      <c r="T30" s="436" t="str">
        <f>AtteuationRate_calc!U15</f>
        <v>na</v>
      </c>
      <c r="U30" s="436" t="str">
        <f>AtteuationRate_calc!V15</f>
        <v>na</v>
      </c>
      <c r="V30" s="477" t="str">
        <f>AtteuationRate_calc!W15</f>
        <v>na</v>
      </c>
    </row>
    <row r="31" spans="1:22" ht="12.75" hidden="1">
      <c r="A31" s="415"/>
      <c r="B31" s="555" t="str">
        <f>AtteuationRate_calc!B16</f>
        <v>#3</v>
      </c>
      <c r="C31" s="447">
        <f>AtteuationRate_calc!F16</f>
        <v>34229</v>
      </c>
      <c r="D31" s="423"/>
      <c r="E31" s="423"/>
      <c r="F31" s="459"/>
      <c r="G31" s="436">
        <f>AtteuationRate_calc!H16</f>
        <v>8990</v>
      </c>
      <c r="H31" s="436">
        <f>AtteuationRate_calc!I16</f>
        <v>4500</v>
      </c>
      <c r="I31" s="436">
        <f>AtteuationRate_calc!J16</f>
        <v>320</v>
      </c>
      <c r="J31" s="436">
        <f>AtteuationRate_calc!K16</f>
        <v>67</v>
      </c>
      <c r="K31" s="436" t="str">
        <f>AtteuationRate_calc!L16</f>
        <v>na</v>
      </c>
      <c r="L31" s="436">
        <f>AtteuationRate_calc!M16</f>
        <v>1900</v>
      </c>
      <c r="M31" s="436" t="str">
        <f>AtteuationRate_calc!N16</f>
        <v>na</v>
      </c>
      <c r="N31" s="436" t="str">
        <f>AtteuationRate_calc!O16</f>
        <v>na</v>
      </c>
      <c r="O31" s="436" t="str">
        <f>AtteuationRate_calc!P16</f>
        <v>na</v>
      </c>
      <c r="P31" s="436">
        <f>AtteuationRate_calc!Q16</f>
        <v>378</v>
      </c>
      <c r="Q31" s="436">
        <f>AtteuationRate_calc!R16</f>
        <v>789</v>
      </c>
      <c r="R31" s="436" t="str">
        <f>AtteuationRate_calc!S16</f>
        <v>na</v>
      </c>
      <c r="S31" s="436" t="str">
        <f>AtteuationRate_calc!T16</f>
        <v>na</v>
      </c>
      <c r="T31" s="436" t="str">
        <f>AtteuationRate_calc!U16</f>
        <v>na</v>
      </c>
      <c r="U31" s="436" t="str">
        <f>AtteuationRate_calc!V16</f>
        <v>na</v>
      </c>
      <c r="V31" s="477" t="str">
        <f>AtteuationRate_calc!W16</f>
        <v>na</v>
      </c>
    </row>
    <row r="32" spans="1:22" ht="12.75" hidden="1">
      <c r="A32" s="415"/>
      <c r="B32" s="555" t="str">
        <f>AtteuationRate_calc!B17</f>
        <v>#4</v>
      </c>
      <c r="C32" s="447">
        <f>AtteuationRate_calc!F17</f>
        <v>34600</v>
      </c>
      <c r="D32" s="423"/>
      <c r="E32" s="423"/>
      <c r="F32" s="459"/>
      <c r="G32" s="436">
        <f>AtteuationRate_calc!H17</f>
        <v>6789</v>
      </c>
      <c r="H32" s="436">
        <f>AtteuationRate_calc!I17</f>
        <v>2200</v>
      </c>
      <c r="I32" s="436">
        <f>AtteuationRate_calc!J17</f>
        <v>430</v>
      </c>
      <c r="J32" s="436">
        <f>AtteuationRate_calc!K17</f>
        <v>120</v>
      </c>
      <c r="K32" s="436" t="str">
        <f>AtteuationRate_calc!L17</f>
        <v>na</v>
      </c>
      <c r="L32" s="436">
        <f>AtteuationRate_calc!M17</f>
        <v>1800</v>
      </c>
      <c r="M32" s="436">
        <f>AtteuationRate_calc!N17</f>
        <v>2200</v>
      </c>
      <c r="N32" s="436" t="str">
        <f>AtteuationRate_calc!O17</f>
        <v>na</v>
      </c>
      <c r="O32" s="436">
        <f>AtteuationRate_calc!P17</f>
        <v>520</v>
      </c>
      <c r="P32" s="436">
        <f>AtteuationRate_calc!Q17</f>
        <v>520</v>
      </c>
      <c r="Q32" s="436" t="str">
        <f>AtteuationRate_calc!R17</f>
        <v>na</v>
      </c>
      <c r="R32" s="436">
        <f>AtteuationRate_calc!S17</f>
        <v>15</v>
      </c>
      <c r="S32" s="436" t="str">
        <f>AtteuationRate_calc!T17</f>
        <v>na</v>
      </c>
      <c r="T32" s="436" t="str">
        <f>AtteuationRate_calc!U17</f>
        <v>na</v>
      </c>
      <c r="U32" s="436" t="str">
        <f>AtteuationRate_calc!V17</f>
        <v>na</v>
      </c>
      <c r="V32" s="477" t="str">
        <f>AtteuationRate_calc!W17</f>
        <v>na</v>
      </c>
    </row>
    <row r="33" spans="1:22" ht="12.75" hidden="1">
      <c r="A33" s="415"/>
      <c r="B33" s="555" t="str">
        <f>AtteuationRate_calc!B18</f>
        <v>#5</v>
      </c>
      <c r="C33" s="447">
        <f>AtteuationRate_calc!F18</f>
        <v>35202</v>
      </c>
      <c r="D33" s="423"/>
      <c r="E33" s="423"/>
      <c r="F33" s="459"/>
      <c r="G33" s="436">
        <f>AtteuationRate_calc!H18</f>
        <v>4777</v>
      </c>
      <c r="H33" s="436" t="str">
        <f>AtteuationRate_calc!I18</f>
        <v>na</v>
      </c>
      <c r="I33" s="436">
        <f>AtteuationRate_calc!J18</f>
        <v>246</v>
      </c>
      <c r="J33" s="436">
        <f>AtteuationRate_calc!K18</f>
        <v>240</v>
      </c>
      <c r="K33" s="436" t="str">
        <f>AtteuationRate_calc!L18</f>
        <v>na</v>
      </c>
      <c r="L33" s="436">
        <f>AtteuationRate_calc!M18</f>
        <v>1300</v>
      </c>
      <c r="M33" s="436">
        <f>AtteuationRate_calc!N18</f>
        <v>880</v>
      </c>
      <c r="N33" s="436" t="str">
        <f>AtteuationRate_calc!O18</f>
        <v>na</v>
      </c>
      <c r="O33" s="436" t="str">
        <f>AtteuationRate_calc!P18</f>
        <v>na</v>
      </c>
      <c r="P33" s="436">
        <f>AtteuationRate_calc!Q18</f>
        <v>530</v>
      </c>
      <c r="Q33" s="436">
        <f>AtteuationRate_calc!R18</f>
        <v>1</v>
      </c>
      <c r="R33" s="436">
        <f>AtteuationRate_calc!S18</f>
        <v>10</v>
      </c>
      <c r="S33" s="436" t="str">
        <f>AtteuationRate_calc!T18</f>
        <v>na</v>
      </c>
      <c r="T33" s="436" t="str">
        <f>AtteuationRate_calc!U18</f>
        <v>na</v>
      </c>
      <c r="U33" s="436" t="str">
        <f>AtteuationRate_calc!V18</f>
        <v>na</v>
      </c>
      <c r="V33" s="477" t="str">
        <f>AtteuationRate_calc!W18</f>
        <v>na</v>
      </c>
    </row>
    <row r="34" spans="1:22" ht="12.75" hidden="1">
      <c r="A34" s="415"/>
      <c r="B34" s="555" t="str">
        <f>AtteuationRate_calc!B19</f>
        <v>#6</v>
      </c>
      <c r="C34" s="447">
        <f>AtteuationRate_calc!F19</f>
        <v>35287</v>
      </c>
      <c r="D34" s="423"/>
      <c r="E34" s="423"/>
      <c r="F34" s="459"/>
      <c r="G34" s="436">
        <f>AtteuationRate_calc!H19</f>
        <v>4410</v>
      </c>
      <c r="H34" s="436">
        <f>AtteuationRate_calc!I19</f>
        <v>890</v>
      </c>
      <c r="I34" s="436" t="str">
        <f>AtteuationRate_calc!J19</f>
        <v>na</v>
      </c>
      <c r="J34" s="436">
        <f>AtteuationRate_calc!K19</f>
        <v>345</v>
      </c>
      <c r="K34" s="436" t="str">
        <f>AtteuationRate_calc!L19</f>
        <v>na</v>
      </c>
      <c r="L34" s="436">
        <f>AtteuationRate_calc!M19</f>
        <v>980</v>
      </c>
      <c r="M34" s="436" t="str">
        <f>AtteuationRate_calc!N19</f>
        <v>na</v>
      </c>
      <c r="N34" s="436" t="str">
        <f>AtteuationRate_calc!O19</f>
        <v>na</v>
      </c>
      <c r="O34" s="436">
        <f>AtteuationRate_calc!P19</f>
        <v>650</v>
      </c>
      <c r="P34" s="436">
        <f>AtteuationRate_calc!Q19</f>
        <v>650</v>
      </c>
      <c r="Q34" s="436">
        <f>AtteuationRate_calc!R19</f>
        <v>1</v>
      </c>
      <c r="R34" s="436">
        <f>AtteuationRate_calc!S19</f>
        <v>1</v>
      </c>
      <c r="S34" s="436" t="str">
        <f>AtteuationRate_calc!T19</f>
        <v>na</v>
      </c>
      <c r="T34" s="436" t="str">
        <f>AtteuationRate_calc!U19</f>
        <v>na</v>
      </c>
      <c r="U34" s="436" t="str">
        <f>AtteuationRate_calc!V19</f>
        <v>na</v>
      </c>
      <c r="V34" s="477" t="str">
        <f>AtteuationRate_calc!W19</f>
        <v>na</v>
      </c>
    </row>
    <row r="35" spans="1:22" ht="12.75" hidden="1">
      <c r="A35" s="415"/>
      <c r="B35" s="555" t="str">
        <f>AtteuationRate_calc!B20</f>
        <v>#7</v>
      </c>
      <c r="C35" s="447">
        <f>AtteuationRate_calc!F20</f>
        <v>35376</v>
      </c>
      <c r="D35" s="423"/>
      <c r="E35" s="423"/>
      <c r="F35" s="459"/>
      <c r="G35" s="436">
        <f>AtteuationRate_calc!H20</f>
        <v>3000</v>
      </c>
      <c r="H35" s="436">
        <f>AtteuationRate_calc!I20</f>
        <v>378</v>
      </c>
      <c r="I35" s="436">
        <f>AtteuationRate_calc!J20</f>
        <v>40</v>
      </c>
      <c r="J35" s="436" t="str">
        <f>AtteuationRate_calc!K20</f>
        <v>na</v>
      </c>
      <c r="K35" s="436" t="str">
        <f>AtteuationRate_calc!L20</f>
        <v>na</v>
      </c>
      <c r="L35" s="436">
        <f>AtteuationRate_calc!M20</f>
        <v>620</v>
      </c>
      <c r="M35" s="436">
        <f>AtteuationRate_calc!N20</f>
        <v>660</v>
      </c>
      <c r="N35" s="436" t="str">
        <f>AtteuationRate_calc!O20</f>
        <v>na</v>
      </c>
      <c r="O35" s="436">
        <f>AtteuationRate_calc!P20</f>
        <v>760</v>
      </c>
      <c r="P35" s="436">
        <f>AtteuationRate_calc!Q20</f>
        <v>760</v>
      </c>
      <c r="Q35" s="436" t="str">
        <f>AtteuationRate_calc!R20</f>
        <v>na</v>
      </c>
      <c r="R35" s="436">
        <f>AtteuationRate_calc!S20</f>
        <v>1</v>
      </c>
      <c r="S35" s="436" t="str">
        <f>AtteuationRate_calc!T20</f>
        <v>na</v>
      </c>
      <c r="T35" s="436" t="str">
        <f>AtteuationRate_calc!U20</f>
        <v>na</v>
      </c>
      <c r="U35" s="436" t="str">
        <f>AtteuationRate_calc!V20</f>
        <v>na</v>
      </c>
      <c r="V35" s="477" t="str">
        <f>AtteuationRate_calc!W20</f>
        <v>na</v>
      </c>
    </row>
    <row r="36" spans="1:22" ht="12.75" hidden="1">
      <c r="A36" s="415"/>
      <c r="B36" s="555" t="str">
        <f>AtteuationRate_calc!B21</f>
        <v>#8</v>
      </c>
      <c r="C36" s="447">
        <f>AtteuationRate_calc!F21</f>
        <v>35772</v>
      </c>
      <c r="D36" s="423"/>
      <c r="E36" s="423"/>
      <c r="F36" s="459"/>
      <c r="G36" s="436">
        <f>AtteuationRate_calc!H21</f>
        <v>3800</v>
      </c>
      <c r="H36" s="436">
        <f>AtteuationRate_calc!I21</f>
        <v>456</v>
      </c>
      <c r="I36" s="436">
        <f>AtteuationRate_calc!J21</f>
        <v>23</v>
      </c>
      <c r="J36" s="436">
        <f>AtteuationRate_calc!K21</f>
        <v>560</v>
      </c>
      <c r="K36" s="436" t="str">
        <f>AtteuationRate_calc!L21</f>
        <v>na</v>
      </c>
      <c r="L36" s="436">
        <f>AtteuationRate_calc!M21</f>
        <v>500</v>
      </c>
      <c r="M36" s="436">
        <f>AtteuationRate_calc!N21</f>
        <v>339</v>
      </c>
      <c r="N36" s="436" t="str">
        <f>AtteuationRate_calc!O21</f>
        <v>na</v>
      </c>
      <c r="O36" s="436">
        <f>AtteuationRate_calc!P21</f>
        <v>360</v>
      </c>
      <c r="P36" s="436">
        <f>AtteuationRate_calc!Q21</f>
        <v>360</v>
      </c>
      <c r="Q36" s="436" t="str">
        <f>AtteuationRate_calc!R21</f>
        <v>na</v>
      </c>
      <c r="R36" s="436">
        <f>AtteuationRate_calc!S21</f>
        <v>1</v>
      </c>
      <c r="S36" s="436" t="str">
        <f>AtteuationRate_calc!T21</f>
        <v>na</v>
      </c>
      <c r="T36" s="436" t="str">
        <f>AtteuationRate_calc!U21</f>
        <v>na</v>
      </c>
      <c r="U36" s="436" t="str">
        <f>AtteuationRate_calc!V21</f>
        <v>na</v>
      </c>
      <c r="V36" s="477" t="str">
        <f>AtteuationRate_calc!W21</f>
        <v>na</v>
      </c>
    </row>
    <row r="37" spans="1:22" ht="12.75" hidden="1">
      <c r="A37" s="415"/>
      <c r="B37" s="555" t="str">
        <f>AtteuationRate_calc!B22</f>
        <v>#9</v>
      </c>
      <c r="C37" s="447">
        <f>AtteuationRate_calc!F22</f>
        <v>35881</v>
      </c>
      <c r="D37" s="423"/>
      <c r="E37" s="423"/>
      <c r="F37" s="459"/>
      <c r="G37" s="436">
        <f>AtteuationRate_calc!H22</f>
        <v>2900</v>
      </c>
      <c r="H37" s="436">
        <f>AtteuationRate_calc!I22</f>
        <v>78</v>
      </c>
      <c r="I37" s="436">
        <f>AtteuationRate_calc!J22</f>
        <v>10</v>
      </c>
      <c r="J37" s="436" t="str">
        <f>AtteuationRate_calc!K22</f>
        <v>na</v>
      </c>
      <c r="K37" s="436" t="str">
        <f>AtteuationRate_calc!L22</f>
        <v>na</v>
      </c>
      <c r="L37" s="436">
        <f>AtteuationRate_calc!M22</f>
        <v>635</v>
      </c>
      <c r="M37" s="436">
        <f>AtteuationRate_calc!N22</f>
        <v>426</v>
      </c>
      <c r="N37" s="436" t="str">
        <f>AtteuationRate_calc!O22</f>
        <v>na</v>
      </c>
      <c r="O37" s="436" t="str">
        <f>AtteuationRate_calc!P22</f>
        <v>na</v>
      </c>
      <c r="P37" s="436">
        <f>AtteuationRate_calc!Q22</f>
        <v>455</v>
      </c>
      <c r="Q37" s="436" t="str">
        <f>AtteuationRate_calc!R22</f>
        <v>na</v>
      </c>
      <c r="R37" s="436" t="str">
        <f>AtteuationRate_calc!S22</f>
        <v>na</v>
      </c>
      <c r="S37" s="436" t="str">
        <f>AtteuationRate_calc!T22</f>
        <v>na</v>
      </c>
      <c r="T37" s="436" t="str">
        <f>AtteuationRate_calc!U22</f>
        <v>na</v>
      </c>
      <c r="U37" s="436" t="str">
        <f>AtteuationRate_calc!V22</f>
        <v>na</v>
      </c>
      <c r="V37" s="477" t="str">
        <f>AtteuationRate_calc!W22</f>
        <v>na</v>
      </c>
    </row>
    <row r="38" spans="1:22" ht="12.75" hidden="1">
      <c r="A38" s="415"/>
      <c r="B38" s="555" t="str">
        <f>AtteuationRate_calc!B23</f>
        <v>#10</v>
      </c>
      <c r="C38" s="447">
        <f>AtteuationRate_calc!F23</f>
        <v>35999</v>
      </c>
      <c r="D38" s="423"/>
      <c r="E38" s="423"/>
      <c r="F38" s="459"/>
      <c r="G38" s="436">
        <f>AtteuationRate_calc!H23</f>
        <v>3200</v>
      </c>
      <c r="H38" s="436">
        <f>AtteuationRate_calc!I23</f>
        <v>22</v>
      </c>
      <c r="I38" s="436">
        <f>AtteuationRate_calc!J23</f>
        <v>4</v>
      </c>
      <c r="J38" s="436" t="str">
        <f>AtteuationRate_calc!K23</f>
        <v>na</v>
      </c>
      <c r="K38" s="436" t="str">
        <f>AtteuationRate_calc!L23</f>
        <v>na</v>
      </c>
      <c r="L38" s="436">
        <f>AtteuationRate_calc!M23</f>
        <v>470</v>
      </c>
      <c r="M38" s="436">
        <f>AtteuationRate_calc!N23</f>
        <v>419</v>
      </c>
      <c r="N38" s="436" t="str">
        <f>AtteuationRate_calc!O23</f>
        <v>na</v>
      </c>
      <c r="O38" s="436" t="str">
        <f>AtteuationRate_calc!P23</f>
        <v>na</v>
      </c>
      <c r="P38" s="436">
        <f>AtteuationRate_calc!Q23</f>
        <v>467</v>
      </c>
      <c r="Q38" s="436" t="str">
        <f>AtteuationRate_calc!R23</f>
        <v>na</v>
      </c>
      <c r="R38" s="436" t="str">
        <f>AtteuationRate_calc!S23</f>
        <v>na</v>
      </c>
      <c r="S38" s="436" t="str">
        <f>AtteuationRate_calc!T23</f>
        <v>na</v>
      </c>
      <c r="T38" s="436" t="str">
        <f>AtteuationRate_calc!U23</f>
        <v>na</v>
      </c>
      <c r="U38" s="436" t="str">
        <f>AtteuationRate_calc!V23</f>
        <v>na</v>
      </c>
      <c r="V38" s="477" t="str">
        <f>AtteuationRate_calc!W23</f>
        <v>na</v>
      </c>
    </row>
    <row r="39" spans="1:22" ht="12.75" hidden="1">
      <c r="A39" s="415"/>
      <c r="B39" s="555" t="str">
        <f>AtteuationRate_calc!B24</f>
        <v>#11</v>
      </c>
      <c r="C39" s="447">
        <f>AtteuationRate_calc!F24</f>
        <v>36056</v>
      </c>
      <c r="D39" s="423"/>
      <c r="E39" s="423"/>
      <c r="F39" s="459"/>
      <c r="G39" s="436">
        <f>AtteuationRate_calc!H24</f>
        <v>3200</v>
      </c>
      <c r="H39" s="436">
        <f>AtteuationRate_calc!I24</f>
        <v>8</v>
      </c>
      <c r="I39" s="436">
        <f>AtteuationRate_calc!J24</f>
        <v>2</v>
      </c>
      <c r="J39" s="436" t="str">
        <f>AtteuationRate_calc!K24</f>
        <v>na</v>
      </c>
      <c r="K39" s="436" t="str">
        <f>AtteuationRate_calc!L24</f>
        <v>na</v>
      </c>
      <c r="L39" s="436">
        <f>AtteuationRate_calc!M24</f>
        <v>1210</v>
      </c>
      <c r="M39" s="436" t="str">
        <f>AtteuationRate_calc!N24</f>
        <v>na</v>
      </c>
      <c r="N39" s="436" t="str">
        <f>AtteuationRate_calc!O24</f>
        <v>na</v>
      </c>
      <c r="O39" s="436" t="str">
        <f>AtteuationRate_calc!P24</f>
        <v>na</v>
      </c>
      <c r="P39" s="436" t="str">
        <f>AtteuationRate_calc!Q24</f>
        <v>na</v>
      </c>
      <c r="Q39" s="436" t="str">
        <f>AtteuationRate_calc!R24</f>
        <v>na</v>
      </c>
      <c r="R39" s="436" t="str">
        <f>AtteuationRate_calc!S24</f>
        <v>na</v>
      </c>
      <c r="S39" s="436" t="str">
        <f>AtteuationRate_calc!T24</f>
        <v>na</v>
      </c>
      <c r="T39" s="436" t="str">
        <f>AtteuationRate_calc!U24</f>
        <v>na</v>
      </c>
      <c r="U39" s="436" t="str">
        <f>AtteuationRate_calc!V24</f>
        <v>na</v>
      </c>
      <c r="V39" s="477" t="str">
        <f>AtteuationRate_calc!W24</f>
        <v>na</v>
      </c>
    </row>
    <row r="40" spans="1:22" ht="12.75" hidden="1">
      <c r="A40" s="415"/>
      <c r="B40" s="555" t="str">
        <f>AtteuationRate_calc!B25</f>
        <v>#12</v>
      </c>
      <c r="C40" s="447">
        <f>AtteuationRate_calc!F25</f>
        <v>36145</v>
      </c>
      <c r="D40" s="423"/>
      <c r="E40" s="423"/>
      <c r="F40" s="459"/>
      <c r="G40" s="436">
        <f>AtteuationRate_calc!H25</f>
        <v>1200</v>
      </c>
      <c r="H40" s="436">
        <f>AtteuationRate_calc!I25</f>
        <v>12</v>
      </c>
      <c r="I40" s="436">
        <f>AtteuationRate_calc!J25</f>
        <v>7</v>
      </c>
      <c r="J40" s="436" t="str">
        <f>AtteuationRate_calc!K25</f>
        <v>na</v>
      </c>
      <c r="K40" s="436" t="str">
        <f>AtteuationRate_calc!L25</f>
        <v>na</v>
      </c>
      <c r="L40" s="436">
        <f>AtteuationRate_calc!M25</f>
        <v>379</v>
      </c>
      <c r="M40" s="436">
        <f>AtteuationRate_calc!N25</f>
        <v>144</v>
      </c>
      <c r="N40" s="436" t="str">
        <f>AtteuationRate_calc!O25</f>
        <v>na</v>
      </c>
      <c r="O40" s="436">
        <f>AtteuationRate_calc!P25</f>
        <v>566</v>
      </c>
      <c r="P40" s="436">
        <f>AtteuationRate_calc!Q25</f>
        <v>345</v>
      </c>
      <c r="Q40" s="436" t="str">
        <f>AtteuationRate_calc!R25</f>
        <v>na</v>
      </c>
      <c r="R40" s="436" t="str">
        <f>AtteuationRate_calc!S25</f>
        <v>na</v>
      </c>
      <c r="S40" s="436" t="str">
        <f>AtteuationRate_calc!T25</f>
        <v>na</v>
      </c>
      <c r="T40" s="436" t="str">
        <f>AtteuationRate_calc!U25</f>
        <v>na</v>
      </c>
      <c r="U40" s="436" t="str">
        <f>AtteuationRate_calc!V25</f>
        <v>na</v>
      </c>
      <c r="V40" s="477" t="str">
        <f>AtteuationRate_calc!W25</f>
        <v>na</v>
      </c>
    </row>
    <row r="41" spans="1:22" ht="12.75" hidden="1">
      <c r="A41" s="415"/>
      <c r="B41" s="555" t="str">
        <f>AtteuationRate_calc!B26</f>
        <v>#13</v>
      </c>
      <c r="C41" s="447">
        <f>AtteuationRate_calc!F26</f>
        <v>36220</v>
      </c>
      <c r="D41" s="423"/>
      <c r="E41" s="423"/>
      <c r="F41" s="459"/>
      <c r="G41" s="436">
        <f>AtteuationRate_calc!H26</f>
        <v>2350</v>
      </c>
      <c r="H41" s="436">
        <f>AtteuationRate_calc!I26</f>
        <v>5</v>
      </c>
      <c r="I41" s="436" t="str">
        <f>AtteuationRate_calc!J26</f>
        <v>na</v>
      </c>
      <c r="J41" s="436" t="str">
        <f>AtteuationRate_calc!K26</f>
        <v>na</v>
      </c>
      <c r="K41" s="436" t="str">
        <f>AtteuationRate_calc!L26</f>
        <v>na</v>
      </c>
      <c r="L41" s="436">
        <f>AtteuationRate_calc!M26</f>
        <v>700</v>
      </c>
      <c r="M41" s="436">
        <f>AtteuationRate_calc!N26</f>
        <v>123</v>
      </c>
      <c r="N41" s="436" t="str">
        <f>AtteuationRate_calc!O26</f>
        <v>na</v>
      </c>
      <c r="O41" s="436">
        <f>AtteuationRate_calc!P26</f>
        <v>56</v>
      </c>
      <c r="P41" s="436">
        <f>AtteuationRate_calc!Q26</f>
        <v>450</v>
      </c>
      <c r="Q41" s="436" t="str">
        <f>AtteuationRate_calc!R26</f>
        <v>na</v>
      </c>
      <c r="R41" s="436" t="str">
        <f>AtteuationRate_calc!S26</f>
        <v>na</v>
      </c>
      <c r="S41" s="436" t="str">
        <f>AtteuationRate_calc!T26</f>
        <v>na</v>
      </c>
      <c r="T41" s="436" t="str">
        <f>AtteuationRate_calc!U26</f>
        <v>na</v>
      </c>
      <c r="U41" s="436" t="str">
        <f>AtteuationRate_calc!V26</f>
        <v>na</v>
      </c>
      <c r="V41" s="477" t="str">
        <f>AtteuationRate_calc!W26</f>
        <v>na</v>
      </c>
    </row>
    <row r="42" spans="1:22" ht="12.75" hidden="1">
      <c r="A42" s="415"/>
      <c r="B42" s="555" t="str">
        <f>AtteuationRate_calc!B27</f>
        <v>#14</v>
      </c>
      <c r="C42" s="447">
        <f>AtteuationRate_calc!F27</f>
        <v>36332</v>
      </c>
      <c r="D42" s="423"/>
      <c r="E42" s="423"/>
      <c r="F42" s="459"/>
      <c r="G42" s="436" t="str">
        <f>AtteuationRate_calc!H27</f>
        <v>na</v>
      </c>
      <c r="H42" s="436" t="str">
        <f>AtteuationRate_calc!I27</f>
        <v>na</v>
      </c>
      <c r="I42" s="436" t="str">
        <f>AtteuationRate_calc!J27</f>
        <v>na</v>
      </c>
      <c r="J42" s="436" t="str">
        <f>AtteuationRate_calc!K27</f>
        <v>na</v>
      </c>
      <c r="K42" s="436" t="str">
        <f>AtteuationRate_calc!L27</f>
        <v>na</v>
      </c>
      <c r="L42" s="436">
        <f>AtteuationRate_calc!M27</f>
        <v>574</v>
      </c>
      <c r="M42" s="436">
        <f>AtteuationRate_calc!N27</f>
        <v>464</v>
      </c>
      <c r="N42" s="436" t="str">
        <f>AtteuationRate_calc!O27</f>
        <v>na</v>
      </c>
      <c r="O42" s="436" t="str">
        <f>AtteuationRate_calc!P27</f>
        <v>na</v>
      </c>
      <c r="P42" s="436" t="str">
        <f>AtteuationRate_calc!Q27</f>
        <v>na</v>
      </c>
      <c r="Q42" s="436" t="str">
        <f>AtteuationRate_calc!R27</f>
        <v>na</v>
      </c>
      <c r="R42" s="436" t="str">
        <f>AtteuationRate_calc!S27</f>
        <v>na</v>
      </c>
      <c r="S42" s="436" t="str">
        <f>AtteuationRate_calc!T27</f>
        <v>na</v>
      </c>
      <c r="T42" s="436" t="str">
        <f>AtteuationRate_calc!U27</f>
        <v>na</v>
      </c>
      <c r="U42" s="436" t="str">
        <f>AtteuationRate_calc!V27</f>
        <v>na</v>
      </c>
      <c r="V42" s="477" t="str">
        <f>AtteuationRate_calc!W27</f>
        <v>na</v>
      </c>
    </row>
    <row r="43" spans="1:22" ht="12.75" hidden="1">
      <c r="A43" s="415"/>
      <c r="B43" s="555" t="str">
        <f>AtteuationRate_calc!B28</f>
        <v>#15</v>
      </c>
      <c r="C43" s="447">
        <f>AtteuationRate_calc!F28</f>
        <v>36410</v>
      </c>
      <c r="D43" s="423"/>
      <c r="E43" s="423"/>
      <c r="F43" s="459"/>
      <c r="G43" s="436" t="str">
        <f>AtteuationRate_calc!H28</f>
        <v>na</v>
      </c>
      <c r="H43" s="436" t="str">
        <f>AtteuationRate_calc!I28</f>
        <v>na</v>
      </c>
      <c r="I43" s="436" t="str">
        <f>AtteuationRate_calc!J28</f>
        <v>na</v>
      </c>
      <c r="J43" s="436" t="str">
        <f>AtteuationRate_calc!K28</f>
        <v>na</v>
      </c>
      <c r="K43" s="436" t="str">
        <f>AtteuationRate_calc!L28</f>
        <v>na</v>
      </c>
      <c r="L43" s="436">
        <f>AtteuationRate_calc!M28</f>
        <v>1050</v>
      </c>
      <c r="M43" s="436">
        <f>AtteuationRate_calc!N28</f>
        <v>155</v>
      </c>
      <c r="N43" s="436" t="str">
        <f>AtteuationRate_calc!O28</f>
        <v>na</v>
      </c>
      <c r="O43" s="436" t="str">
        <f>AtteuationRate_calc!P28</f>
        <v>na</v>
      </c>
      <c r="P43" s="436" t="str">
        <f>AtteuationRate_calc!Q28</f>
        <v>na</v>
      </c>
      <c r="Q43" s="436" t="str">
        <f>AtteuationRate_calc!R28</f>
        <v>na</v>
      </c>
      <c r="R43" s="436" t="str">
        <f>AtteuationRate_calc!S28</f>
        <v>na</v>
      </c>
      <c r="S43" s="436" t="str">
        <f>AtteuationRate_calc!T28</f>
        <v>na</v>
      </c>
      <c r="T43" s="436" t="str">
        <f>AtteuationRate_calc!U28</f>
        <v>na</v>
      </c>
      <c r="U43" s="436" t="str">
        <f>AtteuationRate_calc!V28</f>
        <v>na</v>
      </c>
      <c r="V43" s="477" t="str">
        <f>AtteuationRate_calc!W28</f>
        <v>na</v>
      </c>
    </row>
    <row r="44" spans="1:22" ht="12.75" hidden="1">
      <c r="A44" s="415"/>
      <c r="B44" s="555" t="str">
        <f>AtteuationRate_calc!B33</f>
        <v>#20</v>
      </c>
      <c r="C44" s="447" t="str">
        <f>AtteuationRate_calc!F33</f>
        <v>na</v>
      </c>
      <c r="D44" s="423"/>
      <c r="E44" s="423"/>
      <c r="F44" s="459"/>
      <c r="G44" s="436" t="str">
        <f>AtteuationRate_calc!H33</f>
        <v>na</v>
      </c>
      <c r="H44" s="436" t="str">
        <f>AtteuationRate_calc!I33</f>
        <v>na</v>
      </c>
      <c r="I44" s="436" t="str">
        <f>AtteuationRate_calc!J33</f>
        <v>na</v>
      </c>
      <c r="J44" s="436" t="str">
        <f>AtteuationRate_calc!K33</f>
        <v>na</v>
      </c>
      <c r="K44" s="436" t="str">
        <f>AtteuationRate_calc!L33</f>
        <v>na</v>
      </c>
      <c r="L44" s="436" t="str">
        <f>AtteuationRate_calc!M33</f>
        <v>na</v>
      </c>
      <c r="M44" s="436" t="str">
        <f>AtteuationRate_calc!N33</f>
        <v>na</v>
      </c>
      <c r="N44" s="436" t="str">
        <f>AtteuationRate_calc!O33</f>
        <v>na</v>
      </c>
      <c r="O44" s="436" t="str">
        <f>AtteuationRate_calc!P33</f>
        <v>na</v>
      </c>
      <c r="P44" s="436" t="str">
        <f>AtteuationRate_calc!Q33</f>
        <v>na</v>
      </c>
      <c r="Q44" s="436" t="str">
        <f>AtteuationRate_calc!R33</f>
        <v>na</v>
      </c>
      <c r="R44" s="436" t="str">
        <f>AtteuationRate_calc!S33</f>
        <v>na</v>
      </c>
      <c r="S44" s="436" t="str">
        <f>AtteuationRate_calc!T33</f>
        <v>na</v>
      </c>
      <c r="T44" s="436" t="str">
        <f>AtteuationRate_calc!U33</f>
        <v>na</v>
      </c>
      <c r="U44" s="436" t="str">
        <f>AtteuationRate_calc!V33</f>
        <v>na</v>
      </c>
      <c r="V44" s="477" t="str">
        <f>AtteuationRate_calc!W33</f>
        <v>na</v>
      </c>
    </row>
    <row r="45" spans="1:22" ht="12.75" hidden="1">
      <c r="A45" s="415"/>
      <c r="B45" s="555"/>
      <c r="C45" s="447"/>
      <c r="D45" s="423"/>
      <c r="E45" s="423"/>
      <c r="F45" s="459"/>
      <c r="G45" s="436"/>
      <c r="H45" s="436"/>
      <c r="I45" s="436"/>
      <c r="J45" s="436"/>
      <c r="K45" s="436"/>
      <c r="L45" s="436"/>
      <c r="M45" s="436"/>
      <c r="N45" s="436"/>
      <c r="O45" s="436"/>
      <c r="P45" s="436"/>
      <c r="Q45" s="436"/>
      <c r="R45" s="436"/>
      <c r="S45" s="436"/>
      <c r="T45" s="436"/>
      <c r="U45" s="436"/>
      <c r="V45" s="477"/>
    </row>
    <row r="46" spans="1:22" ht="9" customHeight="1" hidden="1" thickBot="1">
      <c r="A46" s="415"/>
      <c r="B46" s="432"/>
      <c r="C46" s="433"/>
      <c r="D46" s="433"/>
      <c r="E46" s="433"/>
      <c r="F46" s="434"/>
      <c r="G46" s="433"/>
      <c r="H46" s="433"/>
      <c r="I46" s="433"/>
      <c r="J46" s="433"/>
      <c r="K46" s="433"/>
      <c r="L46" s="433"/>
      <c r="M46" s="433"/>
      <c r="N46" s="433"/>
      <c r="O46" s="433"/>
      <c r="P46" s="433"/>
      <c r="Q46" s="433"/>
      <c r="R46" s="433"/>
      <c r="S46" s="433"/>
      <c r="T46" s="433"/>
      <c r="U46" s="433"/>
      <c r="V46" s="434"/>
    </row>
    <row r="47" spans="1:22" ht="12.75" hidden="1">
      <c r="A47" s="415"/>
      <c r="B47" s="423"/>
      <c r="C47" s="423"/>
      <c r="D47" s="423"/>
      <c r="E47" s="423"/>
      <c r="F47" s="423"/>
      <c r="G47" s="423"/>
      <c r="H47" s="423"/>
      <c r="I47" s="423"/>
      <c r="J47" s="423"/>
      <c r="K47" s="423"/>
      <c r="L47" s="423"/>
      <c r="M47" s="423"/>
      <c r="N47" s="423"/>
      <c r="O47" s="423"/>
      <c r="P47" s="423"/>
      <c r="Q47" s="423"/>
      <c r="R47" s="423"/>
      <c r="S47" s="423"/>
      <c r="T47" s="423"/>
      <c r="U47" s="423"/>
      <c r="V47" s="423"/>
    </row>
    <row r="48" spans="1:22" ht="7.5" customHeight="1" hidden="1">
      <c r="A48" s="415"/>
      <c r="B48" s="423"/>
      <c r="C48" s="423"/>
      <c r="D48" s="423"/>
      <c r="E48" s="423"/>
      <c r="F48" s="423"/>
      <c r="G48" s="423"/>
      <c r="H48" s="423"/>
      <c r="I48" s="423"/>
      <c r="J48" s="423"/>
      <c r="K48" s="423"/>
      <c r="L48" s="423"/>
      <c r="M48" s="423"/>
      <c r="N48" s="423"/>
      <c r="O48" s="423"/>
      <c r="P48" s="423"/>
      <c r="Q48" s="423"/>
      <c r="R48" s="423"/>
      <c r="S48" s="423"/>
      <c r="T48" s="423"/>
      <c r="U48" s="423"/>
      <c r="V48" s="423"/>
    </row>
    <row r="49" spans="1:22" s="472" customFormat="1" ht="9" customHeight="1" hidden="1">
      <c r="A49" s="423"/>
      <c r="B49" s="423"/>
      <c r="C49" s="423"/>
      <c r="D49" s="423"/>
      <c r="E49" s="423"/>
      <c r="F49" s="423"/>
      <c r="G49" s="436"/>
      <c r="H49" s="436"/>
      <c r="I49" s="436"/>
      <c r="J49" s="436"/>
      <c r="K49" s="436"/>
      <c r="L49" s="436"/>
      <c r="M49" s="436"/>
      <c r="N49" s="436"/>
      <c r="O49" s="436"/>
      <c r="P49" s="436"/>
      <c r="Q49" s="436"/>
      <c r="R49" s="436"/>
      <c r="S49" s="436"/>
      <c r="T49" s="436"/>
      <c r="U49" s="436"/>
      <c r="V49" s="436"/>
    </row>
    <row r="50" spans="1:22" s="472" customFormat="1" ht="15.75" customHeight="1" thickBot="1">
      <c r="A50" s="423"/>
      <c r="B50" s="636" t="s">
        <v>292</v>
      </c>
      <c r="C50" s="502"/>
      <c r="D50" s="502"/>
      <c r="E50" s="502"/>
      <c r="F50" s="502"/>
      <c r="G50" s="502"/>
      <c r="H50" s="502"/>
      <c r="I50" s="502"/>
      <c r="J50" s="502"/>
      <c r="K50" s="502"/>
      <c r="L50" s="502"/>
      <c r="M50" s="502"/>
      <c r="N50" s="502"/>
      <c r="O50" s="502"/>
      <c r="P50" s="502"/>
      <c r="Q50" s="502"/>
      <c r="R50" s="502"/>
      <c r="S50" s="502"/>
      <c r="T50" s="502"/>
      <c r="U50" s="502"/>
      <c r="V50" s="502"/>
    </row>
    <row r="51" spans="1:22" s="472" customFormat="1" ht="2.25" customHeight="1" hidden="1">
      <c r="A51" s="423"/>
      <c r="B51" s="423"/>
      <c r="C51" s="423"/>
      <c r="D51" s="423"/>
      <c r="E51" s="423"/>
      <c r="F51" s="423"/>
      <c r="G51" s="436"/>
      <c r="H51" s="436"/>
      <c r="I51" s="436"/>
      <c r="J51" s="436"/>
      <c r="K51" s="436"/>
      <c r="L51" s="436"/>
      <c r="M51" s="436"/>
      <c r="N51" s="436"/>
      <c r="O51" s="436"/>
      <c r="P51" s="436"/>
      <c r="Q51" s="436"/>
      <c r="R51" s="436"/>
      <c r="S51" s="436"/>
      <c r="T51" s="436"/>
      <c r="U51" s="436"/>
      <c r="V51" s="436"/>
    </row>
    <row r="52" spans="1:22" s="472" customFormat="1" ht="12" customHeight="1">
      <c r="A52" s="423"/>
      <c r="B52" s="439" t="str">
        <f>AtteuationRate_calc!B88</f>
        <v>Coefficient of Determination</v>
      </c>
      <c r="C52" s="574"/>
      <c r="D52" s="574"/>
      <c r="E52" s="1034" t="s">
        <v>399</v>
      </c>
      <c r="F52" s="523"/>
      <c r="G52" s="1008">
        <f>IF(ISERROR(AtteuationRate_calc!H88),"NA",AtteuationRate_calc!H88)</f>
        <v>0.6988482520247161</v>
      </c>
      <c r="H52" s="1009">
        <f>IF(ISERROR(AtteuationRate_calc!I88),"NA",AtteuationRate_calc!I88)</f>
        <v>0.8621715477131127</v>
      </c>
      <c r="I52" s="1009">
        <f>IF(ISERROR(AtteuationRate_calc!J88),"NA",AtteuationRate_calc!J88)</f>
        <v>0.8469115891229283</v>
      </c>
      <c r="J52" s="1009">
        <f>IF(ISERROR(AtteuationRate_calc!K88),"NA",AtteuationRate_calc!K88)</f>
        <v>0.9378204214959404</v>
      </c>
      <c r="K52" s="1009" t="str">
        <f>IF(ISERROR(AtteuationRate_calc!L88),"NA",AtteuationRate_calc!L88)</f>
        <v>NA</v>
      </c>
      <c r="L52" s="1009">
        <f>IF(ISERROR(AtteuationRate_calc!M88),"NA",AtteuationRate_calc!M88)</f>
        <v>0.6023623698937492</v>
      </c>
      <c r="M52" s="1009">
        <f>IF(ISERROR(AtteuationRate_calc!N88),"NA",AtteuationRate_calc!N88)</f>
        <v>0.7954799081203102</v>
      </c>
      <c r="N52" s="1009" t="str">
        <f>IF(ISERROR(AtteuationRate_calc!O88),"NA",AtteuationRate_calc!O88)</f>
        <v>NA</v>
      </c>
      <c r="O52" s="1009">
        <f>IF(ISERROR(AtteuationRate_calc!P88),"NA",AtteuationRate_calc!P88)</f>
        <v>0.05055979550863915</v>
      </c>
      <c r="P52" s="1009">
        <f>IF(ISERROR(AtteuationRate_calc!Q88),"NA",AtteuationRate_calc!Q88)</f>
        <v>0.015285473669744035</v>
      </c>
      <c r="Q52" s="1009">
        <f>IF(ISERROR(AtteuationRate_calc!R88),"NA",AtteuationRate_calc!R88)</f>
        <v>0.9881189717125884</v>
      </c>
      <c r="R52" s="1009">
        <f>IF(ISERROR(AtteuationRate_calc!S88),"NA",AtteuationRate_calc!S88)</f>
        <v>0.8597071172488959</v>
      </c>
      <c r="S52" s="1009" t="str">
        <f>IF(ISERROR(AtteuationRate_calc!T88),"NA",AtteuationRate_calc!T88)</f>
        <v>NA</v>
      </c>
      <c r="T52" s="1009" t="str">
        <f>IF(ISERROR(AtteuationRate_calc!U88),"NA",AtteuationRate_calc!U88)</f>
        <v>NA</v>
      </c>
      <c r="U52" s="1009" t="str">
        <f>IF(ISERROR(AtteuationRate_calc!V88),"NA",AtteuationRate_calc!V88)</f>
        <v>NA</v>
      </c>
      <c r="V52" s="1010" t="str">
        <f>IF(ISERROR(AtteuationRate_calc!W88),"NA",AtteuationRate_calc!W88)</f>
        <v>NA</v>
      </c>
    </row>
    <row r="53" spans="1:22" s="472" customFormat="1" ht="13.5">
      <c r="A53" s="423"/>
      <c r="B53" s="441" t="str">
        <f>AtteuationRate_calc!B89</f>
        <v>Correlation Coefficient</v>
      </c>
      <c r="C53" s="575"/>
      <c r="D53" s="575"/>
      <c r="E53" s="1035" t="s">
        <v>24</v>
      </c>
      <c r="F53" s="525"/>
      <c r="G53" s="1011">
        <f>IF(ISERROR(AtteuationRate_calc!H89),"NA",AtteuationRate_calc!H89)</f>
        <v>-0.8359714421107435</v>
      </c>
      <c r="H53" s="1012">
        <f>IF(ISERROR(AtteuationRate_calc!I89),"NA",AtteuationRate_calc!I89)</f>
        <v>-0.9285319314450703</v>
      </c>
      <c r="I53" s="1012">
        <f>IF(ISERROR(AtteuationRate_calc!J89),"NA",AtteuationRate_calc!J89)</f>
        <v>-0.9202779955659748</v>
      </c>
      <c r="J53" s="1012">
        <f>IF(ISERROR(AtteuationRate_calc!K89),"NA",AtteuationRate_calc!K89)</f>
        <v>0.9684112873650019</v>
      </c>
      <c r="K53" s="1012" t="str">
        <f>IF(ISERROR(AtteuationRate_calc!L89),"NA",AtteuationRate_calc!L89)</f>
        <v>NA</v>
      </c>
      <c r="L53" s="1012">
        <f>IF(ISERROR(AtteuationRate_calc!M89),"NA",AtteuationRate_calc!M89)</f>
        <v>-0.7761200744045661</v>
      </c>
      <c r="M53" s="1012">
        <f>IF(ISERROR(AtteuationRate_calc!N89),"NA",AtteuationRate_calc!N89)</f>
        <v>-0.89189680351502</v>
      </c>
      <c r="N53" s="1012" t="str">
        <f>IF(ISERROR(AtteuationRate_calc!O89),"NA",AtteuationRate_calc!O89)</f>
        <v>NA</v>
      </c>
      <c r="O53" s="1012">
        <f>IF(ISERROR(AtteuationRate_calc!P89),"NA",AtteuationRate_calc!P89)</f>
        <v>-0.224855054443166</v>
      </c>
      <c r="P53" s="1012">
        <f>IF(ISERROR(AtteuationRate_calc!Q89),"NA",AtteuationRate_calc!Q89)</f>
        <v>-0.1236344356146136</v>
      </c>
      <c r="Q53" s="1012">
        <f>IF(ISERROR(AtteuationRate_calc!R89),"NA",AtteuationRate_calc!R89)</f>
        <v>-0.9940417353977591</v>
      </c>
      <c r="R53" s="1012">
        <f>IF(ISERROR(AtteuationRate_calc!S89),"NA",AtteuationRate_calc!S89)</f>
        <v>-0.9272039243062423</v>
      </c>
      <c r="S53" s="1012" t="str">
        <f>IF(ISERROR(AtteuationRate_calc!T89),"NA",AtteuationRate_calc!T89)</f>
        <v>NA</v>
      </c>
      <c r="T53" s="1012" t="str">
        <f>IF(ISERROR(AtteuationRate_calc!U89),"NA",AtteuationRate_calc!U89)</f>
        <v>NA</v>
      </c>
      <c r="U53" s="1012" t="str">
        <f>IF(ISERROR(AtteuationRate_calc!V89),"NA",AtteuationRate_calc!V89)</f>
        <v>NA</v>
      </c>
      <c r="V53" s="1013" t="str">
        <f>IF(ISERROR(AtteuationRate_calc!W89),"NA",AtteuationRate_calc!W89)</f>
        <v>NA</v>
      </c>
    </row>
    <row r="54" spans="1:22" s="472" customFormat="1" ht="14.25" thickBot="1">
      <c r="A54" s="423"/>
      <c r="B54" s="444" t="str">
        <f>AtteuationRate_calc!B90</f>
        <v>Number of data points</v>
      </c>
      <c r="C54" s="445"/>
      <c r="D54" s="445"/>
      <c r="E54" s="1036" t="s">
        <v>20</v>
      </c>
      <c r="F54" s="576"/>
      <c r="G54" s="656">
        <f>IF(AtteuationRate_calc!H90=0,"NA",AtteuationRate_calc!H90)</f>
        <v>13</v>
      </c>
      <c r="H54" s="657">
        <f>IF(AtteuationRate_calc!I90=0,"NA",AtteuationRate_calc!I90)</f>
        <v>12</v>
      </c>
      <c r="I54" s="657">
        <f>IF(AtteuationRate_calc!J90=0,"NA",AtteuationRate_calc!J90)</f>
        <v>11</v>
      </c>
      <c r="J54" s="657">
        <f>IF(AtteuationRate_calc!K90=0,"NA",AtteuationRate_calc!K90)</f>
        <v>7</v>
      </c>
      <c r="K54" s="657" t="str">
        <f>IF(AtteuationRate_calc!L90=0,"NA",AtteuationRate_calc!L90)</f>
        <v>NA</v>
      </c>
      <c r="L54" s="657">
        <f>IF(AtteuationRate_calc!M90=0,"NA",AtteuationRate_calc!M90)</f>
        <v>17</v>
      </c>
      <c r="M54" s="657">
        <f>IF(AtteuationRate_calc!N90=0,"NA",AtteuationRate_calc!N90)</f>
        <v>13</v>
      </c>
      <c r="N54" s="657" t="str">
        <f>IF(AtteuationRate_calc!O90=0,"NA",AtteuationRate_calc!O90)</f>
        <v>NA</v>
      </c>
      <c r="O54" s="657">
        <f>IF(AtteuationRate_calc!P90=0,"NA",AtteuationRate_calc!P90)</f>
        <v>8</v>
      </c>
      <c r="P54" s="657">
        <f>IF(AtteuationRate_calc!Q90=0,"NA",AtteuationRate_calc!Q90)</f>
        <v>12</v>
      </c>
      <c r="Q54" s="657">
        <f>IF(AtteuationRate_calc!R90=0,"NA",AtteuationRate_calc!R90)</f>
        <v>4</v>
      </c>
      <c r="R54" s="657">
        <f>IF(AtteuationRate_calc!S90=0,"NA",AtteuationRate_calc!S90)</f>
        <v>6</v>
      </c>
      <c r="S54" s="657" t="str">
        <f>IF(AtteuationRate_calc!T90=0,"NA",AtteuationRate_calc!T90)</f>
        <v>NA</v>
      </c>
      <c r="T54" s="657" t="str">
        <f>IF(AtteuationRate_calc!U90=0,"NA",AtteuationRate_calc!U90)</f>
        <v>NA</v>
      </c>
      <c r="U54" s="657" t="str">
        <f>IF(AtteuationRate_calc!V90=0,"NA",AtteuationRate_calc!V90)</f>
        <v>NA</v>
      </c>
      <c r="V54" s="658" t="str">
        <f>IF(AtteuationRate_calc!W90=0,"NA",AtteuationRate_calc!W90)</f>
        <v>NA</v>
      </c>
    </row>
    <row r="55" spans="1:22" s="472" customFormat="1" ht="3.75" customHeight="1">
      <c r="A55" s="423"/>
      <c r="B55" s="423"/>
      <c r="C55" s="423"/>
      <c r="D55" s="423"/>
      <c r="E55" s="423"/>
      <c r="F55" s="423"/>
      <c r="G55" s="659"/>
      <c r="H55" s="659"/>
      <c r="I55" s="659"/>
      <c r="J55" s="659"/>
      <c r="K55" s="659"/>
      <c r="L55" s="659"/>
      <c r="M55" s="659"/>
      <c r="N55" s="659"/>
      <c r="O55" s="659"/>
      <c r="P55" s="659"/>
      <c r="Q55" s="659"/>
      <c r="R55" s="659"/>
      <c r="S55" s="659"/>
      <c r="T55" s="659"/>
      <c r="U55" s="659"/>
      <c r="V55" s="659"/>
    </row>
    <row r="56" spans="1:22" s="472" customFormat="1" ht="12.75" customHeight="1" thickBot="1">
      <c r="A56" s="423"/>
      <c r="B56" s="502" t="s">
        <v>391</v>
      </c>
      <c r="C56" s="502"/>
      <c r="D56" s="502"/>
      <c r="E56" s="502"/>
      <c r="F56" s="502"/>
      <c r="G56" s="660"/>
      <c r="H56" s="660"/>
      <c r="I56" s="660"/>
      <c r="J56" s="660"/>
      <c r="K56" s="660"/>
      <c r="L56" s="660"/>
      <c r="M56" s="660"/>
      <c r="N56" s="660"/>
      <c r="O56" s="660"/>
      <c r="P56" s="660"/>
      <c r="Q56" s="660"/>
      <c r="R56" s="660"/>
      <c r="S56" s="660"/>
      <c r="T56" s="660"/>
      <c r="U56" s="660"/>
      <c r="V56" s="660"/>
    </row>
    <row r="57" spans="1:22" s="472" customFormat="1" ht="12.75">
      <c r="A57" s="423"/>
      <c r="B57" s="567" t="s">
        <v>454</v>
      </c>
      <c r="C57" s="440"/>
      <c r="D57" s="440"/>
      <c r="E57" s="440"/>
      <c r="F57" s="523"/>
      <c r="G57" s="1031">
        <f>IF(ISERROR(AtteuationRate_calc!H96),"NA",AtteuationRate_calc!H96)</f>
        <v>0.9996293056539493</v>
      </c>
      <c r="H57" s="1032">
        <f>IF(ISERROR(AtteuationRate_calc!I96),"NA",AtteuationRate_calc!I96)</f>
        <v>0.9999869873715387</v>
      </c>
      <c r="I57" s="1032">
        <f>IF(ISERROR(AtteuationRate_calc!J96),"NA",AtteuationRate_calc!J96)</f>
        <v>0.9999405447035308</v>
      </c>
      <c r="J57" s="1032">
        <f>IF(ISERROR(AtteuationRate_calc!K96),"NA",AtteuationRate_calc!K96)</f>
        <v>0.9996651159898657</v>
      </c>
      <c r="K57" s="1032" t="str">
        <f>IF(ISERROR(AtteuationRate_calc!L96),"NA",AtteuationRate_calc!L96)</f>
        <v>NA</v>
      </c>
      <c r="L57" s="1032">
        <f>IF(ISERROR(AtteuationRate_calc!M96),"NA",AtteuationRate_calc!M96)</f>
        <v>0.9997503832715733</v>
      </c>
      <c r="M57" s="1032">
        <f>IF(ISERROR(AtteuationRate_calc!N96),"NA",AtteuationRate_calc!N96)</f>
        <v>0.9999581337402444</v>
      </c>
      <c r="N57" s="1032" t="str">
        <f>IF(ISERROR(AtteuationRate_calc!O96),"NA",AtteuationRate_calc!O96)</f>
        <v>NA</v>
      </c>
      <c r="O57" s="1032">
        <f>IF(ISERROR(AtteuationRate_calc!P96),"NA",AtteuationRate_calc!P96)</f>
        <v>0.40760799335322595</v>
      </c>
      <c r="P57" s="1032">
        <f>IF(ISERROR(AtteuationRate_calc!Q96),"NA",AtteuationRate_calc!Q96)</f>
        <v>0.29814036364919927</v>
      </c>
      <c r="Q57" s="1032">
        <f>IF(ISERROR(AtteuationRate_calc!R96),"NA",AtteuationRate_calc!R96)</f>
        <v>0.9940417353982837</v>
      </c>
      <c r="R57" s="1032">
        <f>IF(ISERROR(AtteuationRate_calc!S96),"NA",AtteuationRate_calc!S96)</f>
        <v>0.9922439800264318</v>
      </c>
      <c r="S57" s="1032" t="str">
        <f>IF(ISERROR(AtteuationRate_calc!T96),"NA",AtteuationRate_calc!T96)</f>
        <v>NA</v>
      </c>
      <c r="T57" s="1032" t="str">
        <f>IF(ISERROR(AtteuationRate_calc!U96),"NA",AtteuationRate_calc!U96)</f>
        <v>NA</v>
      </c>
      <c r="U57" s="1032" t="str">
        <f>IF(ISERROR(AtteuationRate_calc!V96),"NA",AtteuationRate_calc!V96)</f>
        <v>NA</v>
      </c>
      <c r="V57" s="1033" t="str">
        <f>IF(ISERROR(AtteuationRate_calc!W96),"NA",AtteuationRate_calc!W96)</f>
        <v>NA</v>
      </c>
    </row>
    <row r="58" spans="1:22" s="472" customFormat="1" ht="25.5" customHeight="1">
      <c r="A58" s="423"/>
      <c r="B58" s="1146" t="s">
        <v>449</v>
      </c>
      <c r="C58" s="1147"/>
      <c r="D58" s="1147"/>
      <c r="E58" s="1147"/>
      <c r="F58" s="1148"/>
      <c r="G58" s="653" t="str">
        <f>IF(ISTEXT(G57),"NA",AtteuationRate_calc!H98)</f>
        <v>YES!</v>
      </c>
      <c r="H58" s="654" t="str">
        <f>IF(ISTEXT(H57),"NA",AtteuationRate_calc!I98)</f>
        <v>YES!</v>
      </c>
      <c r="I58" s="654" t="str">
        <f>IF(ISTEXT(I57),"NA",AtteuationRate_calc!J98)</f>
        <v>YES!</v>
      </c>
      <c r="J58" s="654" t="str">
        <f>IF(ISTEXT(J57),"NA",AtteuationRate_calc!K98)</f>
        <v>YES!</v>
      </c>
      <c r="K58" s="654" t="str">
        <f>IF(ISTEXT(K57),"NA",AtteuationRate_calc!L98)</f>
        <v>NA</v>
      </c>
      <c r="L58" s="654" t="str">
        <f>IF(ISTEXT(L57),"NA",AtteuationRate_calc!M98)</f>
        <v>YES!</v>
      </c>
      <c r="M58" s="654" t="str">
        <f>IF(ISTEXT(M57),"NA",AtteuationRate_calc!N98)</f>
        <v>YES!</v>
      </c>
      <c r="N58" s="654" t="str">
        <f>IF(ISTEXT(N57),"NA",AtteuationRate_calc!O98)</f>
        <v>NA</v>
      </c>
      <c r="O58" s="654" t="str">
        <f>IF(ISTEXT(O57),"NA",AtteuationRate_calc!P98)</f>
        <v>NO!</v>
      </c>
      <c r="P58" s="654" t="str">
        <f>IF(ISTEXT(P57),"NA",AtteuationRate_calc!Q98)</f>
        <v>NO!</v>
      </c>
      <c r="Q58" s="654" t="str">
        <f>IF(ISTEXT(Q57),"NA",AtteuationRate_calc!R98)</f>
        <v>YES!</v>
      </c>
      <c r="R58" s="654" t="str">
        <f>IF(ISTEXT(R57),"NA",AtteuationRate_calc!S98)</f>
        <v>YES!</v>
      </c>
      <c r="S58" s="654" t="str">
        <f>IF(ISTEXT(S57),"NA",AtteuationRate_calc!T98)</f>
        <v>NA</v>
      </c>
      <c r="T58" s="654" t="str">
        <f>IF(ISTEXT(T57),"NA",AtteuationRate_calc!U98)</f>
        <v>NA</v>
      </c>
      <c r="U58" s="654" t="str">
        <f>IF(ISTEXT(U57),"NA",AtteuationRate_calc!V98)</f>
        <v>NA</v>
      </c>
      <c r="V58" s="655" t="str">
        <f>IF(ISTEXT(V57),"NA",AtteuationRate_calc!W98)</f>
        <v>NA</v>
      </c>
    </row>
    <row r="59" spans="1:22" s="472" customFormat="1" ht="15.75" customHeight="1">
      <c r="A59" s="423"/>
      <c r="B59" s="1146" t="s">
        <v>338</v>
      </c>
      <c r="C59" s="1147"/>
      <c r="D59" s="1147"/>
      <c r="E59" s="1147"/>
      <c r="F59" s="1147"/>
      <c r="G59" s="1011" t="str">
        <f>IF(G58="NO!",AtteuationRate_calc!H41,"NA")</f>
        <v>NA</v>
      </c>
      <c r="H59" s="1012" t="str">
        <f>IF(H58="NO!",AtteuationRate_calc!I41,"NA")</f>
        <v>NA</v>
      </c>
      <c r="I59" s="1012" t="str">
        <f>IF(I58="NO!",AtteuationRate_calc!J41,"NA")</f>
        <v>NA</v>
      </c>
      <c r="J59" s="1012" t="str">
        <f>IF(J58="NO!",AtteuationRate_calc!K41,"NA")</f>
        <v>NA</v>
      </c>
      <c r="K59" s="1012" t="str">
        <f>IF(K58="NO!",AtteuationRate_calc!L41,"NA")</f>
        <v>NA</v>
      </c>
      <c r="L59" s="1012" t="str">
        <f>IF(L58="NO!",AtteuationRate_calc!M41,"NA")</f>
        <v>NA</v>
      </c>
      <c r="M59" s="1012" t="str">
        <f>IF(M58="NO!",AtteuationRate_calc!N41,"NA")</f>
        <v>NA</v>
      </c>
      <c r="N59" s="1012" t="str">
        <f>IF(N58="NO!",AtteuationRate_calc!O41,"NA")</f>
        <v>NA</v>
      </c>
      <c r="O59" s="1012">
        <f>IF(O58="NO!",AtteuationRate_calc!P41,"NA")</f>
        <v>0.518760923313807</v>
      </c>
      <c r="P59" s="1012">
        <f>IF(P58="NO!",AtteuationRate_calc!Q41,"NA")</f>
        <v>0.24436330769156855</v>
      </c>
      <c r="Q59" s="1012" t="str">
        <f>IF(Q58="NO!",AtteuationRate_calc!R41,"NA")</f>
        <v>NA</v>
      </c>
      <c r="R59" s="1012" t="str">
        <f>IF(R58="NO!",AtteuationRate_calc!S41,"NA")</f>
        <v>NA</v>
      </c>
      <c r="S59" s="1012" t="str">
        <f>IF(S58="NO!",AtteuationRate_calc!T41,"NA")</f>
        <v>NA</v>
      </c>
      <c r="T59" s="1012" t="str">
        <f>IF(T58="NO!",AtteuationRate_calc!U41,"NA")</f>
        <v>NA</v>
      </c>
      <c r="U59" s="1012" t="str">
        <f>IF(U58="NO!",AtteuationRate_calc!V41,"NA")</f>
        <v>NA</v>
      </c>
      <c r="V59" s="1013" t="str">
        <f>IF(V58="NO!",AtteuationRate_calc!W41,"NA")</f>
        <v>NA</v>
      </c>
    </row>
    <row r="60" spans="1:22" s="472" customFormat="1" ht="17.25" customHeight="1" thickBot="1">
      <c r="A60" s="423"/>
      <c r="B60" s="1143" t="s">
        <v>328</v>
      </c>
      <c r="C60" s="1144"/>
      <c r="D60" s="1144"/>
      <c r="E60" s="1144"/>
      <c r="F60" s="1145"/>
      <c r="G60" s="811" t="str">
        <f>IF(ISTEXT(G57),"NA",AtteuationRate_calc!H99)</f>
        <v>Shrinking</v>
      </c>
      <c r="H60" s="812" t="str">
        <f>IF(ISTEXT(H57),"NA",AtteuationRate_calc!I99)</f>
        <v>Shrinking</v>
      </c>
      <c r="I60" s="812" t="str">
        <f>IF(ISTEXT(I57),"NA",AtteuationRate_calc!J99)</f>
        <v>Shrinking</v>
      </c>
      <c r="J60" s="812" t="str">
        <f>IF(ISTEXT(J57),"NA",AtteuationRate_calc!K99)</f>
        <v>Expanding</v>
      </c>
      <c r="K60" s="812" t="str">
        <f>IF(ISTEXT(K57),"NA",AtteuationRate_calc!L99)</f>
        <v>NA</v>
      </c>
      <c r="L60" s="812" t="str">
        <f>IF(ISTEXT(L57),"NA",AtteuationRate_calc!M99)</f>
        <v>Shrinking</v>
      </c>
      <c r="M60" s="812" t="str">
        <f>IF(ISTEXT(M57),"NA",AtteuationRate_calc!N99)</f>
        <v>Shrinking</v>
      </c>
      <c r="N60" s="812" t="str">
        <f>IF(ISTEXT(N57),"NA",AtteuationRate_calc!O99)</f>
        <v>NA</v>
      </c>
      <c r="O60" s="812" t="str">
        <f>IF(ISTEXT(O57),"NA",AtteuationRate_calc!P99)</f>
        <v>Stable</v>
      </c>
      <c r="P60" s="812" t="str">
        <f>IF(ISTEXT(P57),"NA",AtteuationRate_calc!Q99)</f>
        <v>Stable</v>
      </c>
      <c r="Q60" s="812" t="str">
        <f>IF(ISTEXT(Q57),"NA",AtteuationRate_calc!R99)</f>
        <v>Shrinking</v>
      </c>
      <c r="R60" s="812" t="str">
        <f>IF(ISTEXT(R57),"NA",AtteuationRate_calc!S99)</f>
        <v>Shrinking</v>
      </c>
      <c r="S60" s="812" t="str">
        <f>IF(ISTEXT(S57),"NA",AtteuationRate_calc!T99)</f>
        <v>NA</v>
      </c>
      <c r="T60" s="812" t="str">
        <f>IF(ISTEXT(T57),"NA",AtteuationRate_calc!U99)</f>
        <v>NA</v>
      </c>
      <c r="U60" s="812" t="str">
        <f>IF(ISTEXT(U57),"NA",AtteuationRate_calc!V99)</f>
        <v>NA</v>
      </c>
      <c r="V60" s="813" t="str">
        <f>IF(ISTEXT(V57),"NA",AtteuationRate_calc!W99)</f>
        <v>NA</v>
      </c>
    </row>
    <row r="61" spans="1:22" s="472" customFormat="1" ht="14.25" customHeight="1" hidden="1">
      <c r="A61" s="423"/>
      <c r="B61" s="548"/>
      <c r="C61" s="548"/>
      <c r="D61" s="548"/>
      <c r="E61" s="548"/>
      <c r="F61" s="548"/>
      <c r="G61" s="659"/>
      <c r="H61" s="659"/>
      <c r="I61" s="659"/>
      <c r="J61" s="659"/>
      <c r="K61" s="659"/>
      <c r="L61" s="659"/>
      <c r="M61" s="659"/>
      <c r="N61" s="659"/>
      <c r="O61" s="659"/>
      <c r="P61" s="659"/>
      <c r="Q61" s="659"/>
      <c r="R61" s="659"/>
      <c r="S61" s="659"/>
      <c r="T61" s="659"/>
      <c r="U61" s="659"/>
      <c r="V61" s="659"/>
    </row>
    <row r="62" spans="1:22" s="472" customFormat="1" ht="19.5" customHeight="1" hidden="1">
      <c r="A62" s="423"/>
      <c r="B62" s="548" t="s">
        <v>288</v>
      </c>
      <c r="C62" s="548"/>
      <c r="D62" s="548"/>
      <c r="E62" s="548"/>
      <c r="F62" s="548"/>
      <c r="G62" s="659">
        <f>IF(AND(G58="Yes!",G60="Yes!"),1,0)</f>
        <v>0</v>
      </c>
      <c r="H62" s="659">
        <f aca="true" t="shared" si="1" ref="H62:V62">IF(AND(H58="Yes!",H60="Yes!"),1,0)</f>
        <v>0</v>
      </c>
      <c r="I62" s="659">
        <f t="shared" si="1"/>
        <v>0</v>
      </c>
      <c r="J62" s="659">
        <f t="shared" si="1"/>
        <v>0</v>
      </c>
      <c r="K62" s="659">
        <f t="shared" si="1"/>
        <v>0</v>
      </c>
      <c r="L62" s="659">
        <f t="shared" si="1"/>
        <v>0</v>
      </c>
      <c r="M62" s="659">
        <f t="shared" si="1"/>
        <v>0</v>
      </c>
      <c r="N62" s="659">
        <f t="shared" si="1"/>
        <v>0</v>
      </c>
      <c r="O62" s="659">
        <f t="shared" si="1"/>
        <v>0</v>
      </c>
      <c r="P62" s="659">
        <f t="shared" si="1"/>
        <v>0</v>
      </c>
      <c r="Q62" s="659">
        <f t="shared" si="1"/>
        <v>0</v>
      </c>
      <c r="R62" s="659">
        <f t="shared" si="1"/>
        <v>0</v>
      </c>
      <c r="S62" s="659">
        <f t="shared" si="1"/>
        <v>0</v>
      </c>
      <c r="T62" s="659">
        <f t="shared" si="1"/>
        <v>0</v>
      </c>
      <c r="U62" s="659">
        <f t="shared" si="1"/>
        <v>0</v>
      </c>
      <c r="V62" s="659">
        <f t="shared" si="1"/>
        <v>0</v>
      </c>
    </row>
    <row r="63" spans="1:22" s="472" customFormat="1" ht="23.25" customHeight="1" thickBot="1">
      <c r="A63" s="423"/>
      <c r="B63" s="883" t="s">
        <v>379</v>
      </c>
      <c r="C63" s="798"/>
      <c r="D63" s="798"/>
      <c r="E63" s="798"/>
      <c r="F63" s="798"/>
      <c r="G63" s="815"/>
      <c r="H63" s="815"/>
      <c r="I63" s="659"/>
      <c r="J63" s="659"/>
      <c r="K63" s="659"/>
      <c r="L63" s="659"/>
      <c r="M63" s="659"/>
      <c r="N63" s="659"/>
      <c r="O63" s="659"/>
      <c r="P63" s="659"/>
      <c r="Q63" s="659"/>
      <c r="R63" s="659"/>
      <c r="S63" s="659"/>
      <c r="T63" s="659"/>
      <c r="U63" s="659"/>
      <c r="V63" s="659"/>
    </row>
    <row r="64" spans="1:22" s="472" customFormat="1" ht="15" customHeight="1">
      <c r="A64" s="423"/>
      <c r="B64" s="1132" t="s">
        <v>395</v>
      </c>
      <c r="C64" s="1133"/>
      <c r="D64" s="440" t="s">
        <v>451</v>
      </c>
      <c r="E64" s="440"/>
      <c r="F64" s="799" t="s">
        <v>286</v>
      </c>
      <c r="G64" s="1008">
        <f>IF(OR(G60="Shrinking",G60="Stable"),AtteuationRate_calc!H79*365,"NA")</f>
        <v>0.20606495541189085</v>
      </c>
      <c r="H64" s="1009">
        <f>IF(OR(H60="Shrinking",H60="Stable"),AtteuationRate_calc!I79*365,"NA")</f>
        <v>1.058173503422286</v>
      </c>
      <c r="I64" s="1009">
        <f>IF(OR(I60="Shrinking",I60="Stable"),AtteuationRate_calc!J79*365,"NA")</f>
        <v>0.8301708424159051</v>
      </c>
      <c r="J64" s="1009" t="str">
        <f>IF(OR(J60="Shrinking",J60="Stable"),AtteuationRate_calc!K79*365,"NA")</f>
        <v>NA</v>
      </c>
      <c r="K64" s="1009" t="str">
        <f>IF(OR(K60="Shrinking",K60="Stable"),AtteuationRate_calc!L79*365,"NA")</f>
        <v>NA</v>
      </c>
      <c r="L64" s="1009">
        <f>IF(OR(L60="Shrinking",L60="Stable"),AtteuationRate_calc!M79*365,"NA")</f>
        <v>0.18164806004207898</v>
      </c>
      <c r="M64" s="1009">
        <f>IF(OR(M60="Shrinking",M60="Stable"),AtteuationRate_calc!N79*365,"NA")</f>
        <v>0.4529439961842245</v>
      </c>
      <c r="N64" s="1009" t="str">
        <f>IF(OR(N60="Shrinking",N60="Stable"),AtteuationRate_calc!O79*365,"NA")</f>
        <v>NA</v>
      </c>
      <c r="O64" s="1009">
        <f>IF(OR(O60="Shrinking",O60="Stable"),AtteuationRate_calc!P79*365,"NA")</f>
        <v>0.08156703173569585</v>
      </c>
      <c r="P64" s="1009">
        <f>IF(OR(P60="Shrinking",P60="Stable"),AtteuationRate_calc!Q79*365,"NA")</f>
        <v>0.012766425315521204</v>
      </c>
      <c r="Q64" s="1009">
        <f>IF(OR(Q60="Shrinking",Q60="Stable"),AtteuationRate_calc!R79*365,"NA")</f>
        <v>2.2007839628993877</v>
      </c>
      <c r="R64" s="1009">
        <f>IF(OR(R60="Shrinking",R60="Stable"),AtteuationRate_calc!S79*365,"NA")</f>
        <v>1.4755879530564275</v>
      </c>
      <c r="S64" s="1009" t="str">
        <f>IF(OR(S60="Shrinking",S60="Stable"),AtteuationRate_calc!T79*365,"NA")</f>
        <v>NA</v>
      </c>
      <c r="T64" s="1009" t="str">
        <f>IF(OR(T60="Shrinking",T60="Stable"),AtteuationRate_calc!U79*365,"NA")</f>
        <v>NA</v>
      </c>
      <c r="U64" s="1009" t="str">
        <f>IF(OR(U60="Shrinking",U60="Stable"),AtteuationRate_calc!V79*365,"NA")</f>
        <v>NA</v>
      </c>
      <c r="V64" s="1010" t="str">
        <f>IF(OR(V60="Shrinking",V60="Stable"),AtteuationRate_calc!W79*365,"NA")</f>
        <v>NA</v>
      </c>
    </row>
    <row r="65" spans="1:22" s="472" customFormat="1" ht="14.25" customHeight="1">
      <c r="A65" s="423"/>
      <c r="B65" s="1134"/>
      <c r="C65" s="1135"/>
      <c r="D65" s="443" t="str">
        <f>" @"&amp;SigLevel_LinReg*100&amp;"% CL"</f>
        <v> @85% CL</v>
      </c>
      <c r="E65" s="443"/>
      <c r="F65" s="486" t="s">
        <v>286</v>
      </c>
      <c r="G65" s="1011">
        <f>IF(OR(G60="Shrinking",G60="Stable"),IF(AtteuationRate_calc!H82&gt;0,AtteuationRate_calc!H82*365,"NA"),"NA")</f>
        <v>0.16188530453136296</v>
      </c>
      <c r="H65" s="1012">
        <f>IF(OR(H60="Shrinking",H60="Stable"),IF(AtteuationRate_calc!I82&gt;0,AtteuationRate_calc!I82*365,"NA"),"NA")</f>
        <v>0.9126526665118497</v>
      </c>
      <c r="I65" s="1012">
        <f>IF(OR(I60="Shrinking",I60="Stable"),IF(AtteuationRate_calc!J82&gt;0,AtteuationRate_calc!J82*365,"NA"),"NA")</f>
        <v>0.7015706622162862</v>
      </c>
      <c r="J65" s="1012" t="str">
        <f>IF(OR(J60="Shrinking",J60="Stable"),IF(AtteuationRate_calc!K82&gt;0,AtteuationRate_calc!K82*365,"NA"),"NA")</f>
        <v>NA</v>
      </c>
      <c r="K65" s="1012" t="str">
        <f>IF(OR(K60="Shrinking",K60="Stable"),IF(AtteuationRate_calc!L82&gt;0,AtteuationRate_calc!L82*365,"NA"),"NA")</f>
        <v>NA</v>
      </c>
      <c r="L65" s="1012">
        <f>IF(OR(L60="Shrinking",L60="Stable"),IF(AtteuationRate_calc!M82&gt;0,AtteuationRate_calc!M82*365,"NA"),"NA")</f>
        <v>0.14083068763784073</v>
      </c>
      <c r="M65" s="1012">
        <f>IF(OR(M60="Shrinking",M60="Stable"),IF(AtteuationRate_calc!N82&gt;0,AtteuationRate_calc!N82*365,"NA"),"NA")</f>
        <v>0.3779347541061124</v>
      </c>
      <c r="N65" s="1012" t="str">
        <f>IF(OR(N60="Shrinking",N60="Stable"),IF(AtteuationRate_calc!O82&gt;0,AtteuationRate_calc!O82*365,"NA"),"NA")</f>
        <v>NA</v>
      </c>
      <c r="O65" s="1012" t="str">
        <f>IF(OR(O60="Shrinking",O60="Stable"),IF(AtteuationRate_calc!P82&gt;0,AtteuationRate_calc!P82*365,"NA"),"NA")</f>
        <v>NA</v>
      </c>
      <c r="P65" s="1012" t="str">
        <f>IF(OR(P60="Shrinking",P60="Stable"),IF(AtteuationRate_calc!Q82&gt;0,AtteuationRate_calc!Q82*365,"NA"),"NA")</f>
        <v>NA</v>
      </c>
      <c r="Q65" s="1012">
        <f>IF(OR(Q60="Shrinking",Q60="Stable"),IF(AtteuationRate_calc!R82&gt;0,AtteuationRate_calc!R82*365,"NA"),"NA")</f>
        <v>1.9875198783451016</v>
      </c>
      <c r="R65" s="1012">
        <f>IF(OR(R60="Shrinking",R60="Stable"),IF(AtteuationRate_calc!S82&gt;0,AtteuationRate_calc!S82*365,"NA"),"NA")</f>
        <v>1.1311205879318948</v>
      </c>
      <c r="S65" s="1012" t="str">
        <f>IF(OR(S60="Shrinking",S60="Stable"),IF(AtteuationRate_calc!T82&gt;0,AtteuationRate_calc!T82*365,"NA"),"NA")</f>
        <v>NA</v>
      </c>
      <c r="T65" s="1012" t="str">
        <f>IF(OR(T60="Shrinking",T60="Stable"),IF(AtteuationRate_calc!U82&gt;0,AtteuationRate_calc!U82*365,"NA"),"NA")</f>
        <v>NA</v>
      </c>
      <c r="U65" s="1012" t="str">
        <f>IF(OR(U60="Shrinking",U60="Stable"),IF(AtteuationRate_calc!V82&gt;0,AtteuationRate_calc!V82*365,"NA"),"NA")</f>
        <v>NA</v>
      </c>
      <c r="V65" s="1013" t="str">
        <f>IF(OR(V60="Shrinking",V60="Stable"),IF(AtteuationRate_calc!W82&gt;0,AtteuationRate_calc!W82*365,"NA"),"NA")</f>
        <v>NA</v>
      </c>
    </row>
    <row r="66" spans="1:22" s="472" customFormat="1" ht="18.75" customHeight="1" hidden="1">
      <c r="A66" s="423"/>
      <c r="B66" s="997" t="s">
        <v>173</v>
      </c>
      <c r="C66" s="1015"/>
      <c r="D66" s="682"/>
      <c r="E66" s="682"/>
      <c r="F66" s="988" t="s">
        <v>19</v>
      </c>
      <c r="G66" s="1016">
        <f>IF(ISERROR(AtteuationRate_calc!H86),"NA",AtteuationRate_calc!H86)</f>
        <v>7941.844936697054</v>
      </c>
      <c r="H66" s="1017">
        <f>IF(ISERROR(AtteuationRate_calc!I86),"NA",AtteuationRate_calc!I86)</f>
        <v>9339.906737168883</v>
      </c>
      <c r="I66" s="1017">
        <f>IF(ISERROR(AtteuationRate_calc!J86),"NA",AtteuationRate_calc!J86)</f>
        <v>681.0377474022507</v>
      </c>
      <c r="J66" s="1017">
        <f>IF(ISERROR(AtteuationRate_calc!K86),"NA",AtteuationRate_calc!K86)</f>
        <v>33.23181435189508</v>
      </c>
      <c r="K66" s="1017" t="str">
        <f>IF(ISERROR(AtteuationRate_calc!L86),"NA",AtteuationRate_calc!L86)</f>
        <v>NA</v>
      </c>
      <c r="L66" s="1017">
        <f>IF(ISERROR(AtteuationRate_calc!M86),"NA",AtteuationRate_calc!M86)</f>
        <v>1793.7068734356374</v>
      </c>
      <c r="M66" s="1017">
        <f>IF(ISERROR(AtteuationRate_calc!N86),"NA",AtteuationRate_calc!N86)</f>
        <v>3671.9201640936226</v>
      </c>
      <c r="N66" s="1017" t="str">
        <f>IF(ISERROR(AtteuationRate_calc!O86),"NA",AtteuationRate_calc!O86)</f>
        <v>NA</v>
      </c>
      <c r="O66" s="1017">
        <f>IF(ISERROR(AtteuationRate_calc!P86),"NA",AtteuationRate_calc!P86)</f>
        <v>466.80528252909625</v>
      </c>
      <c r="P66" s="1017">
        <f>IF(ISERROR(AtteuationRate_calc!Q86),"NA",AtteuationRate_calc!Q86)</f>
        <v>496.19855394745485</v>
      </c>
      <c r="Q66" s="1017">
        <f>IF(ISERROR(AtteuationRate_calc!R86),"NA",AtteuationRate_calc!R86)</f>
        <v>1496.4036548464721</v>
      </c>
      <c r="R66" s="1017">
        <f>IF(ISERROR(AtteuationRate_calc!S86),"NA",AtteuationRate_calc!S86)</f>
        <v>425.8278575423013</v>
      </c>
      <c r="S66" s="1017" t="str">
        <f>IF(ISERROR(AtteuationRate_calc!T86),"NA",AtteuationRate_calc!T86)</f>
        <v>NA</v>
      </c>
      <c r="T66" s="1017" t="str">
        <f>IF(ISERROR(AtteuationRate_calc!U86),"NA",AtteuationRate_calc!U86)</f>
        <v>NA</v>
      </c>
      <c r="U66" s="1017" t="str">
        <f>IF(ISERROR(AtteuationRate_calc!V86),"NA",AtteuationRate_calc!V86)</f>
        <v>NA</v>
      </c>
      <c r="V66" s="1018" t="str">
        <f>IF(ISERROR(AtteuationRate_calc!W86),"NA",AtteuationRate_calc!W86)</f>
        <v>NA</v>
      </c>
    </row>
    <row r="67" spans="1:22" s="472" customFormat="1" ht="16.5" customHeight="1">
      <c r="A67" s="423"/>
      <c r="B67" s="1136" t="s">
        <v>423</v>
      </c>
      <c r="C67" s="1137"/>
      <c r="D67" s="442" t="str">
        <f>D64</f>
        <v> @50% CL</v>
      </c>
      <c r="E67" s="442"/>
      <c r="F67" s="456" t="s">
        <v>287</v>
      </c>
      <c r="G67" s="1019">
        <f>IF(OR(G60="Shrinking",G60="Stable"),AtteuationRate_calc!H80/365,"NA")</f>
        <v>3.3637314951222783</v>
      </c>
      <c r="H67" s="1020">
        <f>IF(OR(H60="Shrinking",H60="Stable"),AtteuationRate_calc!I80/365,"NA")</f>
        <v>0.6550411424196572</v>
      </c>
      <c r="I67" s="1020">
        <f>IF(OR(I60="Shrinking",I60="Stable"),AtteuationRate_calc!J80/365,"NA")</f>
        <v>0.8349452246995291</v>
      </c>
      <c r="J67" s="1020" t="str">
        <f>IF(OR(J60="Shrinking",J60="Stable"),AtteuationRate_calc!K80/365,"NA")</f>
        <v>NA</v>
      </c>
      <c r="K67" s="1020" t="str">
        <f>IF(OR(K60="Shrinking",K60="Stable"),AtteuationRate_calc!L80/365,"NA")</f>
        <v>NA</v>
      </c>
      <c r="L67" s="1020">
        <f>IF(OR(L60="Shrinking",L60="Stable"),AtteuationRate_calc!M80/365,"NA")</f>
        <v>3.8158798965393688</v>
      </c>
      <c r="M67" s="1020">
        <f>IF(OR(M60="Shrinking",M60="Stable"),AtteuationRate_calc!N80/365,"NA")</f>
        <v>1.5303154173568594</v>
      </c>
      <c r="N67" s="1020" t="str">
        <f>IF(OR(N60="Shrinking",N60="Stable"),AtteuationRate_calc!O80/365,"NA")</f>
        <v>NA</v>
      </c>
      <c r="O67" s="1020">
        <f>IF(OR(O60="Shrinking",O60="Stable"),AtteuationRate_calc!P80/365,"NA")</f>
        <v>8.497884081475114</v>
      </c>
      <c r="P67" s="1020">
        <f>IF(OR(P60="Shrinking",P60="Stable"),AtteuationRate_calc!Q80/365,"NA")</f>
        <v>54.29453926442734</v>
      </c>
      <c r="Q67" s="1020">
        <f>IF(OR(Q60="Shrinking",Q60="Stable"),AtteuationRate_calc!R80/365,"NA")</f>
        <v>0.31495466717540493</v>
      </c>
      <c r="R67" s="1020">
        <f>IF(OR(R60="Shrinking",R60="Stable"),AtteuationRate_calc!S80/365,"NA")</f>
        <v>0.4697430465762544</v>
      </c>
      <c r="S67" s="1020" t="str">
        <f>IF(OR(S60="Shrinking",S60="Stable"),AtteuationRate_calc!T80/365,"NA")</f>
        <v>NA</v>
      </c>
      <c r="T67" s="1020" t="str">
        <f>IF(OR(T60="Shrinking",T60="Stable"),AtteuationRate_calc!U80/365,"NA")</f>
        <v>NA</v>
      </c>
      <c r="U67" s="1020" t="str">
        <f>IF(OR(U60="Shrinking",U60="Stable"),AtteuationRate_calc!V80/365,"NA")</f>
        <v>NA</v>
      </c>
      <c r="V67" s="1021" t="str">
        <f>IF(OR(V60="Shrinking",V60="Stable"),AtteuationRate_calc!W80/365,"NA")</f>
        <v>NA</v>
      </c>
    </row>
    <row r="68" spans="1:22" s="472" customFormat="1" ht="13.5" customHeight="1" thickBot="1">
      <c r="A68" s="423"/>
      <c r="B68" s="1138"/>
      <c r="C68" s="1139"/>
      <c r="D68" s="1014" t="str">
        <f>" @"&amp;SigLevel_LinReg*100&amp;"% CL"</f>
        <v> @85% CL</v>
      </c>
      <c r="E68" s="577"/>
      <c r="F68" s="814" t="s">
        <v>287</v>
      </c>
      <c r="G68" s="1022">
        <f>IF(OR(G60="Shrinking",G60="Stable"),IF(AtteuationRate_calc!H82&gt;0,-LN(0.5)/G65,"NA"),"NA")</f>
        <v>4.28171774186988</v>
      </c>
      <c r="H68" s="1023">
        <f>IF(OR(H60="Shrinking",H60="Stable"),IF(AtteuationRate_calc!I82&gt;0,-LN(0.5)/H65,"NA"),"NA")</f>
        <v>0.759486282124335</v>
      </c>
      <c r="I68" s="1023">
        <f>IF(OR(I60="Shrinking",I60="Stable"),IF(AtteuationRate_calc!J82&gt;0,-LN(0.5)/I65,"NA"),"NA")</f>
        <v>0.9879933952344432</v>
      </c>
      <c r="J68" s="1023" t="str">
        <f>IF(OR(J60="Shrinking",J60="Stable"),IF(AtteuationRate_calc!K82&gt;0,-LN(0.5)/J65,"NA"),"NA")</f>
        <v>NA</v>
      </c>
      <c r="K68" s="1023" t="str">
        <f>IF(OR(K60="Shrinking",K60="Stable"),IF(AtteuationRate_calc!L82&gt;0,-LN(0.5)/K65,"NA"),"NA")</f>
        <v>NA</v>
      </c>
      <c r="L68" s="1023">
        <f>IF(OR(L60="Shrinking",L60="Stable"),IF(AtteuationRate_calc!M82&gt;0,-LN(0.5)/L65,"NA"),"NA")</f>
        <v>4.921847590082341</v>
      </c>
      <c r="M68" s="1023">
        <f>IF(OR(M60="Shrinking",M60="Stable"),IF(AtteuationRate_calc!N82&gt;0,-LN(0.5)/M65,"NA"),"NA")</f>
        <v>1.8340392700834574</v>
      </c>
      <c r="N68" s="1023" t="str">
        <f>IF(OR(N60="Shrinking",N60="Stable"),IF(AtteuationRate_calc!O82&gt;0,-LN(0.5)/N65,"NA"),"NA")</f>
        <v>NA</v>
      </c>
      <c r="O68" s="1023" t="str">
        <f>IF(OR(O60="Shrinking",O60="Stable"),IF(AtteuationRate_calc!P82&gt;0,-LN(0.5)/O65,"NA"),"NA")</f>
        <v>NA</v>
      </c>
      <c r="P68" s="1023" t="str">
        <f>IF(OR(P60="Shrinking",P60="Stable"),IF(AtteuationRate_calc!Q82&gt;0,-LN(0.5)/P65,"NA"),"NA")</f>
        <v>NA</v>
      </c>
      <c r="Q68" s="1023">
        <f>IF(OR(Q60="Shrinking",Q60="Stable"),IF(AtteuationRate_calc!R82&gt;0,-LN(0.5)/Q65,"NA"),"NA")</f>
        <v>0.34874981030986757</v>
      </c>
      <c r="R68" s="1023">
        <f>IF(OR(R60="Shrinking",R60="Stable"),IF(AtteuationRate_calc!S82&gt;0,-LN(0.5)/R65,"NA"),"NA")</f>
        <v>0.6127968918214757</v>
      </c>
      <c r="S68" s="1023" t="str">
        <f>IF(OR(S60="Shrinking",S60="Stable"),IF(AtteuationRate_calc!T82&gt;0,-LN(0.5)/S65,"NA"),"NA")</f>
        <v>NA</v>
      </c>
      <c r="T68" s="1023" t="str">
        <f>IF(OR(T60="Shrinking",T60="Stable"),IF(AtteuationRate_calc!U82&gt;0,-LN(0.5)/T65,"NA"),"NA")</f>
        <v>NA</v>
      </c>
      <c r="U68" s="1023" t="str">
        <f>IF(OR(U60="Shrinking",U60="Stable"),IF(AtteuationRate_calc!V82&gt;0,-LN(0.5)/U65,"NA"),"NA")</f>
        <v>NA</v>
      </c>
      <c r="V68" s="1024" t="str">
        <f>IF(OR(V60="Shrinking",V60="Stable"),IF(AtteuationRate_calc!W82&gt;0,-LN(0.5)/V65,"NA"),"NA")</f>
        <v>NA</v>
      </c>
    </row>
    <row r="69" spans="1:22" s="472" customFormat="1" ht="18.75" customHeight="1">
      <c r="A69" s="423"/>
      <c r="B69" s="1092" t="s">
        <v>450</v>
      </c>
      <c r="C69" s="556"/>
      <c r="D69" s="556"/>
      <c r="E69" s="556"/>
      <c r="F69" s="556"/>
      <c r="G69" s="557"/>
      <c r="H69" s="558"/>
      <c r="I69" s="558"/>
      <c r="J69" s="558"/>
      <c r="K69" s="558"/>
      <c r="L69" s="558"/>
      <c r="M69" s="558"/>
      <c r="N69" s="558"/>
      <c r="O69" s="558"/>
      <c r="P69" s="558"/>
      <c r="Q69" s="558"/>
      <c r="R69" s="558"/>
      <c r="S69" s="558"/>
      <c r="T69" s="558"/>
      <c r="U69" s="558"/>
      <c r="V69" s="558"/>
    </row>
    <row r="70" spans="1:22" s="472" customFormat="1" ht="15">
      <c r="A70" s="423"/>
      <c r="B70" s="1093" t="str">
        <f>"          2. The length of time that will actually be required is estimated to be no more "</f>
        <v>          2. The length of time that will actually be required is estimated to be no more </v>
      </c>
      <c r="C70" s="423"/>
      <c r="D70" s="423"/>
      <c r="E70" s="423"/>
      <c r="F70" s="423"/>
      <c r="G70" s="423"/>
      <c r="H70" s="423"/>
      <c r="I70" s="423"/>
      <c r="J70" s="423"/>
      <c r="K70" s="423"/>
      <c r="L70" s="423"/>
      <c r="M70" s="423"/>
      <c r="N70" s="423"/>
      <c r="O70" s="423"/>
      <c r="P70" s="423"/>
      <c r="Q70" s="423"/>
      <c r="R70" s="423"/>
      <c r="S70" s="423"/>
      <c r="T70" s="423"/>
      <c r="U70" s="423"/>
      <c r="V70" s="423"/>
    </row>
    <row r="71" spans="2:15" s="472" customFormat="1" ht="13.5" customHeight="1">
      <c r="B71" s="1093" t="str">
        <f>"           than years calculated (@  "&amp;SigLevel_LinReg*100&amp;"% of confidence level.)"</f>
        <v>           than years calculated (@  85% of confidence level.)</v>
      </c>
      <c r="C71" s="423"/>
      <c r="D71" s="423"/>
      <c r="E71" s="423"/>
      <c r="F71" s="423"/>
      <c r="G71" s="423"/>
      <c r="H71" s="423"/>
      <c r="I71" s="423"/>
      <c r="J71" s="423"/>
      <c r="K71" s="423"/>
      <c r="L71" s="423"/>
      <c r="M71" s="423"/>
      <c r="N71" s="423"/>
      <c r="O71" s="423"/>
    </row>
    <row r="72" s="472" customFormat="1" ht="12.75"/>
    <row r="73" s="472" customFormat="1" ht="12.75"/>
    <row r="74" s="472" customFormat="1" ht="12.75"/>
    <row r="75" s="472" customFormat="1" ht="12.75"/>
    <row r="76" s="472" customFormat="1" ht="12.75"/>
    <row r="77" s="472" customFormat="1" ht="12.75"/>
    <row r="78" s="472" customFormat="1" ht="12.75"/>
    <row r="79" s="472" customFormat="1" ht="12.75"/>
    <row r="80" s="472" customFormat="1" ht="12.75"/>
    <row r="81" s="472" customFormat="1" ht="12.75"/>
  </sheetData>
  <sheetProtection/>
  <mergeCells count="7">
    <mergeCell ref="B64:C65"/>
    <mergeCell ref="B67:C68"/>
    <mergeCell ref="H8:I8"/>
    <mergeCell ref="B21:E21"/>
    <mergeCell ref="B60:F60"/>
    <mergeCell ref="B58:F58"/>
    <mergeCell ref="B59:F59"/>
  </mergeCells>
  <conditionalFormatting sqref="G59:V59">
    <cfRule type="cellIs" priority="1" dxfId="18" operator="equal" stopIfTrue="1">
      <formula>"NO!"</formula>
    </cfRule>
  </conditionalFormatting>
  <conditionalFormatting sqref="G13:V13 G16:V16 G20:V21">
    <cfRule type="cellIs" priority="2" dxfId="16" operator="notEqual" stopIfTrue="1">
      <formula>"NA"</formula>
    </cfRule>
  </conditionalFormatting>
  <conditionalFormatting sqref="G57:V57">
    <cfRule type="cellIs" priority="3" dxfId="16" operator="lessThan" stopIfTrue="1">
      <formula>$H$8</formula>
    </cfRule>
  </conditionalFormatting>
  <conditionalFormatting sqref="G58:V58">
    <cfRule type="cellIs" priority="4" dxfId="18" operator="equal" stopIfTrue="1">
      <formula>"NO!"</formula>
    </cfRule>
    <cfRule type="cellIs" priority="5" dxfId="21" operator="equal" stopIfTrue="1">
      <formula>"YES!"</formula>
    </cfRule>
  </conditionalFormatting>
  <printOptions/>
  <pageMargins left="0.28" right="0.18" top="0.84" bottom="1" header="0.5" footer="0.5"/>
  <pageSetup blackAndWhite="1" horizontalDpi="600" verticalDpi="600" orientation="landscape" scale="87" r:id="rId3"/>
  <headerFooter alignWithMargins="0">
    <oddHeader>&amp;L&amp;8Washington State Department of Ecology: TCP program&amp;R&amp;8&amp;D</oddHeader>
  </headerFooter>
  <legacyDrawing r:id="rId2"/>
</worksheet>
</file>

<file path=xl/worksheets/sheet12.xml><?xml version="1.0" encoding="utf-8"?>
<worksheet xmlns="http://schemas.openxmlformats.org/spreadsheetml/2006/main" xmlns:r="http://schemas.openxmlformats.org/officeDocument/2006/relationships">
  <sheetPr codeName="Sheet5">
    <pageSetUpPr fitToPage="1"/>
  </sheetPr>
  <dimension ref="A1:W230"/>
  <sheetViews>
    <sheetView zoomScale="50" zoomScaleNormal="50" zoomScalePageLayoutView="0" workbookViewId="0" topLeftCell="A78">
      <selection activeCell="H95" sqref="H95"/>
    </sheetView>
  </sheetViews>
  <sheetFormatPr defaultColWidth="9.33203125" defaultRowHeight="12.75"/>
  <cols>
    <col min="1" max="1" width="17.16015625" style="5" customWidth="1"/>
    <col min="2" max="2" width="17.83203125" style="5" customWidth="1"/>
    <col min="3" max="3" width="16.66015625" style="5" customWidth="1"/>
    <col min="4" max="4" width="12.83203125" style="5" customWidth="1"/>
    <col min="5" max="5" width="11.83203125" style="5" customWidth="1"/>
    <col min="6" max="6" width="12.5" style="5" customWidth="1"/>
    <col min="7" max="7" width="12.16015625" style="5" customWidth="1"/>
    <col min="8" max="8" width="15.33203125" style="5" customWidth="1"/>
    <col min="9" max="9" width="15.83203125" style="5" customWidth="1"/>
    <col min="10" max="10" width="14.33203125" style="5" customWidth="1"/>
    <col min="11" max="11" width="16.33203125" style="5" customWidth="1"/>
    <col min="12" max="12" width="19.5" style="5" customWidth="1"/>
    <col min="13" max="13" width="15.83203125" style="5" customWidth="1"/>
    <col min="14" max="14" width="13" style="5" customWidth="1"/>
    <col min="15" max="15" width="13.5" style="5" customWidth="1"/>
    <col min="16" max="17" width="12.33203125" style="5" customWidth="1"/>
    <col min="18" max="18" width="16" style="5" customWidth="1"/>
    <col min="19" max="19" width="18.5" style="5" customWidth="1"/>
    <col min="20" max="20" width="16.5" style="5" customWidth="1"/>
    <col min="21" max="21" width="13.16015625" style="5" customWidth="1"/>
    <col min="22" max="22" width="14" style="5" customWidth="1"/>
    <col min="23" max="23" width="12" style="5" customWidth="1"/>
    <col min="24" max="24" width="8.83203125" style="5" customWidth="1"/>
    <col min="25" max="25" width="14.66015625" style="5" customWidth="1"/>
    <col min="26" max="16384" width="8.83203125" style="5" customWidth="1"/>
  </cols>
  <sheetData>
    <row r="1" ht="17.25">
      <c r="A1" s="22" t="s">
        <v>211</v>
      </c>
    </row>
    <row r="3" spans="2:6" ht="15">
      <c r="B3" s="5" t="s">
        <v>17</v>
      </c>
      <c r="F3" s="5" t="str">
        <f>Historical_data_entry_1!F5</f>
        <v>MTBE</v>
      </c>
    </row>
    <row r="5" ht="15.75" thickBot="1">
      <c r="B5" s="182" t="s">
        <v>314</v>
      </c>
    </row>
    <row r="6" spans="2:23" ht="15.75" thickBot="1">
      <c r="B6" s="188" t="s">
        <v>10</v>
      </c>
      <c r="C6" s="189"/>
      <c r="D6" s="189"/>
      <c r="E6" s="189"/>
      <c r="F6" s="189"/>
      <c r="G6" s="189"/>
      <c r="H6" s="197" t="str">
        <f>Historical_data_entry_1!H9</f>
        <v>MW-1</v>
      </c>
      <c r="I6" s="197" t="str">
        <f>Historical_data_entry_1!I9</f>
        <v>MW-2</v>
      </c>
      <c r="J6" s="197" t="str">
        <f>Historical_data_entry_1!J9</f>
        <v>MW-3</v>
      </c>
      <c r="K6" s="197" t="str">
        <f>Historical_data_entry_1!K9</f>
        <v>MW-4</v>
      </c>
      <c r="L6" s="197">
        <f>Historical_data_entry_1!L9</f>
        <v>0</v>
      </c>
      <c r="M6" s="197" t="str">
        <f>Historical_data_entry_1!M9</f>
        <v>MW-5</v>
      </c>
      <c r="N6" s="197" t="str">
        <f>Historical_data_entry_1!N9</f>
        <v>MW-11</v>
      </c>
      <c r="O6" s="197">
        <f>Historical_data_entry_1!O9</f>
        <v>0</v>
      </c>
      <c r="P6" s="197" t="str">
        <f>Historical_data_entry_1!P9</f>
        <v>MW9</v>
      </c>
      <c r="Q6" s="197" t="str">
        <f>Historical_data_entry_1!Q9</f>
        <v>MW10</v>
      </c>
      <c r="R6" s="197" t="str">
        <f>Historical_data_entry_1!R9</f>
        <v>MW-20</v>
      </c>
      <c r="S6" s="197" t="str">
        <f>Historical_data_entry_1!S9</f>
        <v>MW12</v>
      </c>
      <c r="T6" s="197">
        <f>Historical_data_entry_1!T9</f>
        <v>0</v>
      </c>
      <c r="U6" s="197">
        <f>Historical_data_entry_1!U9</f>
        <v>0</v>
      </c>
      <c r="V6" s="197">
        <f>Historical_data_entry_1!V9</f>
        <v>0</v>
      </c>
      <c r="W6" s="198">
        <f>Historical_data_entry_1!W9</f>
        <v>0</v>
      </c>
    </row>
    <row r="7" spans="2:23" ht="15">
      <c r="B7" s="3" t="s">
        <v>4</v>
      </c>
      <c r="C7" s="1"/>
      <c r="D7" s="1"/>
      <c r="E7" s="1"/>
      <c r="F7" s="1"/>
      <c r="G7" s="1"/>
      <c r="H7" s="184">
        <f>IF(ISBLANK(Historical_data_entry_1!H11),"NA",Historical_data_entry_1!H11)</f>
        <v>0.001</v>
      </c>
      <c r="I7" s="184">
        <f>IF(ISBLANK(Historical_data_entry_1!I11),"NA",Historical_data_entry_1!I11)</f>
        <v>40</v>
      </c>
      <c r="J7" s="184">
        <f>IF(ISBLANK(Historical_data_entry_1!J11),"NA",Historical_data_entry_1!J11)</f>
        <v>56</v>
      </c>
      <c r="K7" s="184">
        <f>IF(ISBLANK(Historical_data_entry_1!K11),"NA",Historical_data_entry_1!K11)</f>
        <v>89</v>
      </c>
      <c r="L7" s="184" t="str">
        <f>IF(ISBLANK(Historical_data_entry_1!L11),"NA",Historical_data_entry_1!L11)</f>
        <v>NA</v>
      </c>
      <c r="M7" s="184">
        <f>IF(ISBLANK(Historical_data_entry_1!M11),"NA",Historical_data_entry_1!M11)</f>
        <v>120</v>
      </c>
      <c r="N7" s="184" t="str">
        <f>IF(ISBLANK(Historical_data_entry_1!N11),"NA",Historical_data_entry_1!N11)</f>
        <v>NA</v>
      </c>
      <c r="O7" s="184" t="str">
        <f>IF(ISBLANK(Historical_data_entry_1!O11),"NA",Historical_data_entry_1!O11)</f>
        <v>NA</v>
      </c>
      <c r="P7" s="184">
        <f>IF(ISBLANK(Historical_data_entry_1!P11),"NA",Historical_data_entry_1!P11)</f>
        <v>100</v>
      </c>
      <c r="Q7" s="184">
        <f>IF(ISBLANK(Historical_data_entry_1!Q11),"NA",Historical_data_entry_1!Q11)</f>
        <v>99</v>
      </c>
      <c r="R7" s="184">
        <f>IF(ISBLANK(Historical_data_entry_1!R11),"NA",Historical_data_entry_1!R11)</f>
        <v>150</v>
      </c>
      <c r="S7" s="184">
        <f>IF(ISBLANK(Historical_data_entry_1!S11),"NA",Historical_data_entry_1!S11)</f>
        <v>150</v>
      </c>
      <c r="T7" s="184" t="str">
        <f>IF(ISBLANK(Historical_data_entry_1!T11),"NA",Historical_data_entry_1!T11)</f>
        <v>NA</v>
      </c>
      <c r="U7" s="184" t="str">
        <f>IF(ISBLANK(Historical_data_entry_1!U11),"NA",Historical_data_entry_1!U11)</f>
        <v>NA</v>
      </c>
      <c r="V7" s="184" t="str">
        <f>IF(ISBLANK(Historical_data_entry_1!V11),"NA",Historical_data_entry_1!V11)</f>
        <v>NA</v>
      </c>
      <c r="W7" s="193" t="str">
        <f>IF(ISBLANK(Historical_data_entry_1!W11),"NA",Historical_data_entry_1!W11)</f>
        <v>NA</v>
      </c>
    </row>
    <row r="8" spans="2:23" ht="15">
      <c r="B8" s="3" t="s">
        <v>5</v>
      </c>
      <c r="C8" s="1"/>
      <c r="D8" s="1"/>
      <c r="E8" s="1"/>
      <c r="F8" s="1"/>
      <c r="G8" s="1"/>
      <c r="H8" s="184">
        <f>IF(ISBLANK(Historical_data_entry_1!H12),"NA",Historical_data_entry_1!H12)</f>
        <v>0.001</v>
      </c>
      <c r="I8" s="184">
        <f>IF(ISBLANK(Historical_data_entry_1!I12),"NA",Historical_data_entry_1!I12)</f>
        <v>5</v>
      </c>
      <c r="J8" s="184">
        <f>IF(ISBLANK(Historical_data_entry_1!J12),"NA",Historical_data_entry_1!J12)</f>
        <v>12</v>
      </c>
      <c r="K8" s="184">
        <f>IF(ISBLANK(Historical_data_entry_1!K12),"NA",Historical_data_entry_1!K12)</f>
        <v>5</v>
      </c>
      <c r="L8" s="184" t="str">
        <f>IF(ISBLANK(Historical_data_entry_1!L12),"NA",Historical_data_entry_1!L12)</f>
        <v>NA</v>
      </c>
      <c r="M8" s="184">
        <f>IF(ISBLANK(Historical_data_entry_1!M12),"NA",Historical_data_entry_1!M12)</f>
        <v>7</v>
      </c>
      <c r="N8" s="184" t="str">
        <f>IF(ISBLANK(Historical_data_entry_1!N12),"NA",Historical_data_entry_1!N12)</f>
        <v>NA</v>
      </c>
      <c r="O8" s="184" t="str">
        <f>IF(ISBLANK(Historical_data_entry_1!O12),"NA",Historical_data_entry_1!O12)</f>
        <v>NA</v>
      </c>
      <c r="P8" s="184">
        <f>IF(ISBLANK(Historical_data_entry_1!P12),"NA",Historical_data_entry_1!P12)</f>
        <v>12</v>
      </c>
      <c r="Q8" s="184">
        <f>IF(ISBLANK(Historical_data_entry_1!Q12),"NA",Historical_data_entry_1!Q12)</f>
        <v>23</v>
      </c>
      <c r="R8" s="184">
        <f>IF(ISBLANK(Historical_data_entry_1!R12),"NA",Historical_data_entry_1!R12)</f>
        <v>23</v>
      </c>
      <c r="S8" s="184">
        <f>IF(ISBLANK(Historical_data_entry_1!S12),"NA",Historical_data_entry_1!S12)</f>
        <v>23</v>
      </c>
      <c r="T8" s="184" t="str">
        <f>IF(ISBLANK(Historical_data_entry_1!T12),"NA",Historical_data_entry_1!T12)</f>
        <v>NA</v>
      </c>
      <c r="U8" s="184" t="str">
        <f>IF(ISBLANK(Historical_data_entry_1!U12),"NA",Historical_data_entry_1!U12)</f>
        <v>NA</v>
      </c>
      <c r="V8" s="184" t="str">
        <f>IF(ISBLANK(Historical_data_entry_1!V12),"NA",Historical_data_entry_1!V12)</f>
        <v>NA</v>
      </c>
      <c r="W8" s="193" t="str">
        <f>IF(ISBLANK(Historical_data_entry_1!W12),"NA",Historical_data_entry_1!W12)</f>
        <v>NA</v>
      </c>
    </row>
    <row r="9" spans="2:23" ht="15">
      <c r="B9" s="3" t="s">
        <v>310</v>
      </c>
      <c r="C9" s="1"/>
      <c r="D9" s="1"/>
      <c r="E9" s="1"/>
      <c r="F9" s="1"/>
      <c r="G9" s="1"/>
      <c r="H9" s="184">
        <f aca="true" t="shared" si="0" ref="H9:W9">TANH(H8/H7)</f>
        <v>0.7615941559557649</v>
      </c>
      <c r="I9" s="184">
        <f t="shared" si="0"/>
        <v>0.12435300177159618</v>
      </c>
      <c r="J9" s="184">
        <f t="shared" si="0"/>
        <v>0.21106497444117137</v>
      </c>
      <c r="K9" s="184">
        <f t="shared" si="0"/>
        <v>0.0561207455491023</v>
      </c>
      <c r="L9" s="184" t="e">
        <f t="shared" si="0"/>
        <v>#VALUE!</v>
      </c>
      <c r="M9" s="184">
        <f t="shared" si="0"/>
        <v>0.05826725814409376</v>
      </c>
      <c r="N9" s="184" t="e">
        <f t="shared" si="0"/>
        <v>#VALUE!</v>
      </c>
      <c r="O9" s="184" t="e">
        <f t="shared" si="0"/>
        <v>#VALUE!</v>
      </c>
      <c r="P9" s="184">
        <f t="shared" si="0"/>
        <v>0.11942729853438594</v>
      </c>
      <c r="Q9" s="184">
        <f t="shared" si="0"/>
        <v>0.22823173241796912</v>
      </c>
      <c r="R9" s="184">
        <f t="shared" si="0"/>
        <v>0.1521428489134243</v>
      </c>
      <c r="S9" s="184">
        <f t="shared" si="0"/>
        <v>0.1521428489134243</v>
      </c>
      <c r="T9" s="184" t="e">
        <f t="shared" si="0"/>
        <v>#VALUE!</v>
      </c>
      <c r="U9" s="184" t="e">
        <f t="shared" si="0"/>
        <v>#VALUE!</v>
      </c>
      <c r="V9" s="184" t="e">
        <f t="shared" si="0"/>
        <v>#VALUE!</v>
      </c>
      <c r="W9" s="193" t="e">
        <f t="shared" si="0"/>
        <v>#VALUE!</v>
      </c>
    </row>
    <row r="10" spans="2:23" ht="15">
      <c r="B10" s="3" t="s">
        <v>309</v>
      </c>
      <c r="C10" s="1"/>
      <c r="D10" s="1"/>
      <c r="E10" s="1"/>
      <c r="F10" s="1"/>
      <c r="G10" s="1"/>
      <c r="H10" s="184">
        <f aca="true" t="shared" si="1" ref="H10:W10">H8/SIN(H9)</f>
        <v>0.001449115600735962</v>
      </c>
      <c r="I10" s="184">
        <f t="shared" si="1"/>
        <v>40.31193140249889</v>
      </c>
      <c r="J10" s="184">
        <f t="shared" si="1"/>
        <v>57.27886461725274</v>
      </c>
      <c r="K10" s="184">
        <f t="shared" si="1"/>
        <v>89.14039774142813</v>
      </c>
      <c r="L10" s="184" t="e">
        <f t="shared" si="1"/>
        <v>#VALUE!</v>
      </c>
      <c r="M10" s="184">
        <f t="shared" si="1"/>
        <v>120.20408564725359</v>
      </c>
      <c r="N10" s="184" t="e">
        <f t="shared" si="1"/>
        <v>#VALUE!</v>
      </c>
      <c r="O10" s="184" t="e">
        <f t="shared" si="1"/>
        <v>#VALUE!</v>
      </c>
      <c r="P10" s="184">
        <f t="shared" si="1"/>
        <v>100.71879248140075</v>
      </c>
      <c r="Q10" s="184">
        <f t="shared" si="1"/>
        <v>101.65500298580488</v>
      </c>
      <c r="R10" s="184">
        <f t="shared" si="1"/>
        <v>151.7585101953617</v>
      </c>
      <c r="S10" s="184">
        <f t="shared" si="1"/>
        <v>151.7585101953617</v>
      </c>
      <c r="T10" s="184" t="e">
        <f t="shared" si="1"/>
        <v>#VALUE!</v>
      </c>
      <c r="U10" s="184" t="e">
        <f t="shared" si="1"/>
        <v>#VALUE!</v>
      </c>
      <c r="V10" s="184" t="e">
        <f t="shared" si="1"/>
        <v>#VALUE!</v>
      </c>
      <c r="W10" s="193" t="e">
        <f t="shared" si="1"/>
        <v>#VALUE!</v>
      </c>
    </row>
    <row r="11" spans="2:23" ht="15.75" thickBot="1">
      <c r="B11" s="194" t="s">
        <v>311</v>
      </c>
      <c r="C11" s="11"/>
      <c r="D11" s="11"/>
      <c r="E11" s="11"/>
      <c r="F11" s="11"/>
      <c r="G11" s="11"/>
      <c r="H11" s="195">
        <f>IF(H8=0,H7,(COS(H9)^2*H10+9.18*SIN(H9)^2*H10)/COS(H9))</f>
        <v>0.009801819458738674</v>
      </c>
      <c r="I11" s="195">
        <f aca="true" t="shared" si="2" ref="I11:W11">IF(I8=0,I7,(COS(I9)^2*I10+9.18*SIN(I9)^2*I10)/COS(I9))</f>
        <v>45.73805476470349</v>
      </c>
      <c r="J11" s="195">
        <f t="shared" si="2"/>
        <v>79.61019927931916</v>
      </c>
      <c r="K11" s="195">
        <f t="shared" si="2"/>
        <v>91.57870901684619</v>
      </c>
      <c r="L11" s="195" t="e">
        <f t="shared" si="2"/>
        <v>#VALUE!</v>
      </c>
      <c r="M11" s="195">
        <f t="shared" si="2"/>
        <v>123.74858963589776</v>
      </c>
      <c r="N11" s="195" t="e">
        <f t="shared" si="2"/>
        <v>#VALUE!</v>
      </c>
      <c r="O11" s="195" t="e">
        <f t="shared" si="2"/>
        <v>#VALUE!</v>
      </c>
      <c r="P11" s="195">
        <f t="shared" si="2"/>
        <v>113.22039391981241</v>
      </c>
      <c r="Q11" s="195">
        <f t="shared" si="2"/>
        <v>148.06225699370648</v>
      </c>
      <c r="R11" s="195">
        <f t="shared" si="2"/>
        <v>182.37910090843647</v>
      </c>
      <c r="S11" s="195">
        <f t="shared" si="2"/>
        <v>182.37910090843647</v>
      </c>
      <c r="T11" s="195" t="e">
        <f t="shared" si="2"/>
        <v>#VALUE!</v>
      </c>
      <c r="U11" s="195" t="e">
        <f t="shared" si="2"/>
        <v>#VALUE!</v>
      </c>
      <c r="V11" s="195" t="e">
        <f t="shared" si="2"/>
        <v>#VALUE!</v>
      </c>
      <c r="W11" s="196" t="e">
        <f t="shared" si="2"/>
        <v>#VALUE!</v>
      </c>
    </row>
    <row r="12" spans="7:23" ht="15.75" thickBot="1">
      <c r="G12" s="1"/>
      <c r="H12" s="184"/>
      <c r="I12" s="184"/>
      <c r="J12" s="184"/>
      <c r="K12" s="184"/>
      <c r="L12" s="184"/>
      <c r="M12" s="184"/>
      <c r="N12" s="184"/>
      <c r="O12" s="184"/>
      <c r="P12" s="184"/>
      <c r="Q12" s="184"/>
      <c r="R12" s="184"/>
      <c r="S12" s="184"/>
      <c r="T12" s="184"/>
      <c r="U12" s="184"/>
      <c r="V12" s="184"/>
      <c r="W12" s="184"/>
    </row>
    <row r="13" spans="2:23" ht="15.75" thickBot="1">
      <c r="B13" s="188" t="s">
        <v>16</v>
      </c>
      <c r="C13" s="189"/>
      <c r="D13" s="189"/>
      <c r="E13" s="189" t="s">
        <v>167</v>
      </c>
      <c r="F13" s="189" t="s">
        <v>15</v>
      </c>
      <c r="G13" s="189" t="s">
        <v>6</v>
      </c>
      <c r="H13" s="190" t="s">
        <v>313</v>
      </c>
      <c r="I13" s="191"/>
      <c r="J13" s="191"/>
      <c r="K13" s="191"/>
      <c r="L13" s="191"/>
      <c r="M13" s="191"/>
      <c r="N13" s="191"/>
      <c r="O13" s="191"/>
      <c r="P13" s="191"/>
      <c r="Q13" s="191"/>
      <c r="R13" s="191"/>
      <c r="S13" s="191"/>
      <c r="T13" s="191"/>
      <c r="U13" s="191"/>
      <c r="V13" s="191"/>
      <c r="W13" s="192"/>
    </row>
    <row r="14" spans="2:23" ht="15">
      <c r="B14" s="3" t="str">
        <f>Historical_data_entry_1!C18</f>
        <v>#1</v>
      </c>
      <c r="C14" s="1"/>
      <c r="D14" s="1"/>
      <c r="E14" s="1"/>
      <c r="F14" s="15">
        <f>IF(ISBLANK(Historical_data_entry_1!F18),"na",Historical_data_entry_1!F18)</f>
        <v>34040</v>
      </c>
      <c r="G14" s="82">
        <v>0</v>
      </c>
      <c r="H14" s="183">
        <f>IF(ISBLANK(Historical_data_entry_1!H18),"na",Historical_data_entry_1!H18)</f>
        <v>8560</v>
      </c>
      <c r="I14" s="183">
        <f>IF(ISBLANK(Historical_data_entry_1!I18),"na",Historical_data_entry_1!I18)</f>
        <v>4260</v>
      </c>
      <c r="J14" s="183">
        <f>IF(ISBLANK(Historical_data_entry_1!J18),"na",Historical_data_entry_1!J18)</f>
        <v>458</v>
      </c>
      <c r="K14" s="183">
        <f>IF(ISBLANK(Historical_data_entry_1!K18),"na",Historical_data_entry_1!K18)</f>
        <v>20</v>
      </c>
      <c r="L14" s="183" t="str">
        <f>IF(ISBLANK(Historical_data_entry_1!L18),"na",Historical_data_entry_1!L18)</f>
        <v>na</v>
      </c>
      <c r="M14" s="183">
        <f>IF(ISBLANK(Historical_data_entry_1!M18),"na",Historical_data_entry_1!M18)</f>
        <v>1500</v>
      </c>
      <c r="N14" s="183" t="str">
        <f>IF(ISBLANK(Historical_data_entry_1!N18),"na",Historical_data_entry_1!N18)</f>
        <v>na</v>
      </c>
      <c r="O14" s="183" t="str">
        <f>IF(ISBLANK(Historical_data_entry_1!O18),"na",Historical_data_entry_1!O18)</f>
        <v>na</v>
      </c>
      <c r="P14" s="183">
        <f>IF(ISBLANK(Historical_data_entry_1!P18),"na",Historical_data_entry_1!P18)</f>
        <v>200</v>
      </c>
      <c r="Q14" s="183">
        <f>IF(ISBLANK(Historical_data_entry_1!Q18),"na",Historical_data_entry_1!Q18)</f>
        <v>450</v>
      </c>
      <c r="R14" s="183">
        <f>IF(ISBLANK(Historical_data_entry_1!R18),"na",Historical_data_entry_1!R18)</f>
        <v>1000</v>
      </c>
      <c r="S14" s="183">
        <f>IF(ISBLANK(Historical_data_entry_1!S18),"na",Historical_data_entry_1!S18)</f>
        <v>1000</v>
      </c>
      <c r="T14" s="183" t="str">
        <f>IF(ISBLANK(Historical_data_entry_1!T18),"na",Historical_data_entry_1!T18)</f>
        <v>na</v>
      </c>
      <c r="U14" s="183" t="str">
        <f>IF(ISBLANK(Historical_data_entry_1!U18),"na",Historical_data_entry_1!U18)</f>
        <v>na</v>
      </c>
      <c r="V14" s="183" t="str">
        <f>IF(ISBLANK(Historical_data_entry_1!V18),"na",Historical_data_entry_1!V18)</f>
        <v>na</v>
      </c>
      <c r="W14" s="186" t="str">
        <f>IF(ISBLANK(Historical_data_entry_1!W18),"na",Historical_data_entry_1!W18)</f>
        <v>na</v>
      </c>
    </row>
    <row r="15" spans="2:23" ht="15">
      <c r="B15" s="3" t="str">
        <f>Historical_data_entry_1!C19</f>
        <v>#2</v>
      </c>
      <c r="C15" s="1"/>
      <c r="D15" s="1"/>
      <c r="E15" s="1">
        <f>IF((F14-F15)&lt;0,1,0)</f>
        <v>1</v>
      </c>
      <c r="F15" s="15">
        <f>IF(ISBLANK(Historical_data_entry_1!F19),"na",Historical_data_entry_1!F19)</f>
        <v>34100</v>
      </c>
      <c r="G15" s="1">
        <f>IF(E15=1,IF(ISTEXT(F15),"na ",-($F$55-F15)),"Check again?")</f>
        <v>60</v>
      </c>
      <c r="H15" s="17">
        <f>IF(ISBLANK(Historical_data_entry_1!H19),"na",Historical_data_entry_1!H19)</f>
        <v>4567</v>
      </c>
      <c r="I15" s="17">
        <f>IF(ISBLANK(Historical_data_entry_1!I19),"na",Historical_data_entry_1!I19)</f>
        <v>5600</v>
      </c>
      <c r="J15" s="17">
        <f>IF(ISBLANK(Historical_data_entry_1!J19),"na",Historical_data_entry_1!J19)</f>
        <v>289</v>
      </c>
      <c r="K15" s="17">
        <f>IF(ISBLANK(Historical_data_entry_1!K19),"na",Historical_data_entry_1!K19)</f>
        <v>35</v>
      </c>
      <c r="L15" s="17" t="str">
        <f>IF(ISBLANK(Historical_data_entry_1!L19),"na",Historical_data_entry_1!L19)</f>
        <v>na</v>
      </c>
      <c r="M15" s="17" t="str">
        <f>IF(ISBLANK(Historical_data_entry_1!M19),"na",Historical_data_entry_1!M19)</f>
        <v>na</v>
      </c>
      <c r="N15" s="17" t="str">
        <f>IF(ISBLANK(Historical_data_entry_1!N19),"na",Historical_data_entry_1!N19)</f>
        <v>na</v>
      </c>
      <c r="O15" s="17" t="str">
        <f>IF(ISBLANK(Historical_data_entry_1!O19),"na",Historical_data_entry_1!O19)</f>
        <v>na</v>
      </c>
      <c r="P15" s="17">
        <f>IF(ISBLANK(Historical_data_entry_1!P19),"na",Historical_data_entry_1!P19)</f>
        <v>490</v>
      </c>
      <c r="Q15" s="17">
        <f>IF(ISBLANK(Historical_data_entry_1!Q19),"na",Historical_data_entry_1!Q19)</f>
        <v>490</v>
      </c>
      <c r="R15" s="17" t="str">
        <f>IF(ISBLANK(Historical_data_entry_1!R19),"na",Historical_data_entry_1!R19)</f>
        <v>na</v>
      </c>
      <c r="S15" s="17" t="str">
        <f>IF(ISBLANK(Historical_data_entry_1!S19),"na",Historical_data_entry_1!S19)</f>
        <v>na</v>
      </c>
      <c r="T15" s="17" t="str">
        <f>IF(ISBLANK(Historical_data_entry_1!T19),"na",Historical_data_entry_1!T19)</f>
        <v>na</v>
      </c>
      <c r="U15" s="17" t="str">
        <f>IF(ISBLANK(Historical_data_entry_1!U19),"na",Historical_data_entry_1!U19)</f>
        <v>na</v>
      </c>
      <c r="V15" s="17" t="str">
        <f>IF(ISBLANK(Historical_data_entry_1!V19),"na",Historical_data_entry_1!V19)</f>
        <v>na</v>
      </c>
      <c r="W15" s="187" t="str">
        <f>IF(ISBLANK(Historical_data_entry_1!W19),"na",Historical_data_entry_1!W19)</f>
        <v>na</v>
      </c>
    </row>
    <row r="16" spans="2:23" ht="15">
      <c r="B16" s="3" t="str">
        <f>Historical_data_entry_1!C20</f>
        <v>#3</v>
      </c>
      <c r="C16" s="1"/>
      <c r="D16" s="1"/>
      <c r="E16" s="1">
        <f aca="true" t="shared" si="3" ref="E16:E33">IF((F15-F16)&lt;0,1,0)</f>
        <v>1</v>
      </c>
      <c r="F16" s="15">
        <f>IF(ISBLANK(Historical_data_entry_1!F20),"na",Historical_data_entry_1!F20)</f>
        <v>34229</v>
      </c>
      <c r="G16" s="1">
        <f aca="true" t="shared" si="4" ref="G16:G28">IF(E16=1,IF(ISTEXT(F16),"na ",-($F$55-F16)),"Check again?")</f>
        <v>189</v>
      </c>
      <c r="H16" s="17">
        <f>IF(ISBLANK(Historical_data_entry_1!H20),"na",Historical_data_entry_1!H20)</f>
        <v>8990</v>
      </c>
      <c r="I16" s="17">
        <f>IF(ISBLANK(Historical_data_entry_1!I20),"na",Historical_data_entry_1!I20)</f>
        <v>4500</v>
      </c>
      <c r="J16" s="17">
        <f>IF(ISBLANK(Historical_data_entry_1!J20),"na",Historical_data_entry_1!J20)</f>
        <v>320</v>
      </c>
      <c r="K16" s="17">
        <f>IF(ISBLANK(Historical_data_entry_1!K20),"na",Historical_data_entry_1!K20)</f>
        <v>67</v>
      </c>
      <c r="L16" s="17" t="str">
        <f>IF(ISBLANK(Historical_data_entry_1!L20),"na",Historical_data_entry_1!L20)</f>
        <v>na</v>
      </c>
      <c r="M16" s="17">
        <f>IF(ISBLANK(Historical_data_entry_1!M20),"na",Historical_data_entry_1!M20)</f>
        <v>1900</v>
      </c>
      <c r="N16" s="17" t="str">
        <f>IF(ISBLANK(Historical_data_entry_1!N20),"na",Historical_data_entry_1!N20)</f>
        <v>na</v>
      </c>
      <c r="O16" s="17" t="str">
        <f>IF(ISBLANK(Historical_data_entry_1!O20),"na",Historical_data_entry_1!O20)</f>
        <v>na</v>
      </c>
      <c r="P16" s="17" t="str">
        <f>IF(ISBLANK(Historical_data_entry_1!P20),"na",Historical_data_entry_1!P20)</f>
        <v>na</v>
      </c>
      <c r="Q16" s="17">
        <f>IF(ISBLANK(Historical_data_entry_1!Q20),"na",Historical_data_entry_1!Q20)</f>
        <v>378</v>
      </c>
      <c r="R16" s="17">
        <f>IF(ISBLANK(Historical_data_entry_1!R20),"na",Historical_data_entry_1!R20)</f>
        <v>789</v>
      </c>
      <c r="S16" s="17" t="str">
        <f>IF(ISBLANK(Historical_data_entry_1!S20),"na",Historical_data_entry_1!S20)</f>
        <v>na</v>
      </c>
      <c r="T16" s="17" t="str">
        <f>IF(ISBLANK(Historical_data_entry_1!T20),"na",Historical_data_entry_1!T20)</f>
        <v>na</v>
      </c>
      <c r="U16" s="17" t="str">
        <f>IF(ISBLANK(Historical_data_entry_1!U20),"na",Historical_data_entry_1!U20)</f>
        <v>na</v>
      </c>
      <c r="V16" s="17" t="str">
        <f>IF(ISBLANK(Historical_data_entry_1!V20),"na",Historical_data_entry_1!V20)</f>
        <v>na</v>
      </c>
      <c r="W16" s="187" t="str">
        <f>IF(ISBLANK(Historical_data_entry_1!W20),"na",Historical_data_entry_1!W20)</f>
        <v>na</v>
      </c>
    </row>
    <row r="17" spans="2:23" ht="15">
      <c r="B17" s="3" t="str">
        <f>Historical_data_entry_1!C21</f>
        <v>#4</v>
      </c>
      <c r="C17" s="1"/>
      <c r="D17" s="1"/>
      <c r="E17" s="1">
        <f t="shared" si="3"/>
        <v>1</v>
      </c>
      <c r="F17" s="15">
        <f>IF(ISBLANK(Historical_data_entry_1!F21),"na",Historical_data_entry_1!F21)</f>
        <v>34600</v>
      </c>
      <c r="G17" s="1">
        <f t="shared" si="4"/>
        <v>560</v>
      </c>
      <c r="H17" s="17">
        <f>IF(ISBLANK(Historical_data_entry_1!H21),"na",Historical_data_entry_1!H21)</f>
        <v>6789</v>
      </c>
      <c r="I17" s="17">
        <f>IF(ISBLANK(Historical_data_entry_1!I21),"na",Historical_data_entry_1!I21)</f>
        <v>2200</v>
      </c>
      <c r="J17" s="17">
        <f>IF(ISBLANK(Historical_data_entry_1!J21),"na",Historical_data_entry_1!J21)</f>
        <v>430</v>
      </c>
      <c r="K17" s="17">
        <f>IF(ISBLANK(Historical_data_entry_1!K21),"na",Historical_data_entry_1!K21)</f>
        <v>120</v>
      </c>
      <c r="L17" s="17" t="str">
        <f>IF(ISBLANK(Historical_data_entry_1!L21),"na",Historical_data_entry_1!L21)</f>
        <v>na</v>
      </c>
      <c r="M17" s="17">
        <f>IF(ISBLANK(Historical_data_entry_1!M21),"na",Historical_data_entry_1!M21)</f>
        <v>1800</v>
      </c>
      <c r="N17" s="17">
        <f>IF(ISBLANK(Historical_data_entry_1!N21),"na",Historical_data_entry_1!N21)</f>
        <v>2200</v>
      </c>
      <c r="O17" s="17" t="str">
        <f>IF(ISBLANK(Historical_data_entry_1!O21),"na",Historical_data_entry_1!O21)</f>
        <v>na</v>
      </c>
      <c r="P17" s="17">
        <f>IF(ISBLANK(Historical_data_entry_1!P21),"na",Historical_data_entry_1!P21)</f>
        <v>520</v>
      </c>
      <c r="Q17" s="17">
        <f>IF(ISBLANK(Historical_data_entry_1!Q21),"na",Historical_data_entry_1!Q21)</f>
        <v>520</v>
      </c>
      <c r="R17" s="17" t="str">
        <f>IF(ISBLANK(Historical_data_entry_1!R21),"na",Historical_data_entry_1!R21)</f>
        <v>na</v>
      </c>
      <c r="S17" s="17">
        <f>IF(ISBLANK(Historical_data_entry_1!S21),"na",Historical_data_entry_1!S21)</f>
        <v>15</v>
      </c>
      <c r="T17" s="17" t="str">
        <f>IF(ISBLANK(Historical_data_entry_1!T21),"na",Historical_data_entry_1!T21)</f>
        <v>na</v>
      </c>
      <c r="U17" s="17" t="str">
        <f>IF(ISBLANK(Historical_data_entry_1!U21),"na",Historical_data_entry_1!U21)</f>
        <v>na</v>
      </c>
      <c r="V17" s="17" t="str">
        <f>IF(ISBLANK(Historical_data_entry_1!V21),"na",Historical_data_entry_1!V21)</f>
        <v>na</v>
      </c>
      <c r="W17" s="187" t="str">
        <f>IF(ISBLANK(Historical_data_entry_1!W21),"na",Historical_data_entry_1!W21)</f>
        <v>na</v>
      </c>
    </row>
    <row r="18" spans="2:23" ht="15">
      <c r="B18" s="3" t="str">
        <f>Historical_data_entry_1!C22</f>
        <v>#5</v>
      </c>
      <c r="C18" s="1"/>
      <c r="D18" s="1"/>
      <c r="E18" s="1">
        <f t="shared" si="3"/>
        <v>1</v>
      </c>
      <c r="F18" s="15">
        <f>IF(ISBLANK(Historical_data_entry_1!F22),"na",Historical_data_entry_1!F22)</f>
        <v>35202</v>
      </c>
      <c r="G18" s="1">
        <f t="shared" si="4"/>
        <v>1162</v>
      </c>
      <c r="H18" s="17">
        <f>IF(ISBLANK(Historical_data_entry_1!H22),"na",Historical_data_entry_1!H22)</f>
        <v>4777</v>
      </c>
      <c r="I18" s="17" t="str">
        <f>IF(ISBLANK(Historical_data_entry_1!I22),"na",Historical_data_entry_1!I22)</f>
        <v>na</v>
      </c>
      <c r="J18" s="17">
        <f>IF(ISBLANK(Historical_data_entry_1!J22),"na",Historical_data_entry_1!J22)</f>
        <v>246</v>
      </c>
      <c r="K18" s="17">
        <f>IF(ISBLANK(Historical_data_entry_1!K22),"na",Historical_data_entry_1!K22)</f>
        <v>240</v>
      </c>
      <c r="L18" s="17" t="str">
        <f>IF(ISBLANK(Historical_data_entry_1!L22),"na",Historical_data_entry_1!L22)</f>
        <v>na</v>
      </c>
      <c r="M18" s="17">
        <f>IF(ISBLANK(Historical_data_entry_1!M22),"na",Historical_data_entry_1!M22)</f>
        <v>1300</v>
      </c>
      <c r="N18" s="17">
        <f>IF(ISBLANK(Historical_data_entry_1!N22),"na",Historical_data_entry_1!N22)</f>
        <v>880</v>
      </c>
      <c r="O18" s="17" t="str">
        <f>IF(ISBLANK(Historical_data_entry_1!O22),"na",Historical_data_entry_1!O22)</f>
        <v>na</v>
      </c>
      <c r="P18" s="17" t="str">
        <f>IF(ISBLANK(Historical_data_entry_1!P22),"na",Historical_data_entry_1!P22)</f>
        <v>na</v>
      </c>
      <c r="Q18" s="17">
        <f>IF(ISBLANK(Historical_data_entry_1!Q22),"na",Historical_data_entry_1!Q22)</f>
        <v>530</v>
      </c>
      <c r="R18" s="17">
        <f>IF(ISBLANK(Historical_data_entry_1!R22),"na",Historical_data_entry_1!R22)</f>
        <v>1</v>
      </c>
      <c r="S18" s="17">
        <f>IF(ISBLANK(Historical_data_entry_1!S22),"na",Historical_data_entry_1!S22)</f>
        <v>10</v>
      </c>
      <c r="T18" s="17" t="str">
        <f>IF(ISBLANK(Historical_data_entry_1!T22),"na",Historical_data_entry_1!T22)</f>
        <v>na</v>
      </c>
      <c r="U18" s="17" t="str">
        <f>IF(ISBLANK(Historical_data_entry_1!U22),"na",Historical_data_entry_1!U22)</f>
        <v>na</v>
      </c>
      <c r="V18" s="17" t="str">
        <f>IF(ISBLANK(Historical_data_entry_1!V22),"na",Historical_data_entry_1!V22)</f>
        <v>na</v>
      </c>
      <c r="W18" s="187" t="str">
        <f>IF(ISBLANK(Historical_data_entry_1!W22),"na",Historical_data_entry_1!W22)</f>
        <v>na</v>
      </c>
    </row>
    <row r="19" spans="2:23" ht="15">
      <c r="B19" s="3" t="str">
        <f>Historical_data_entry_1!C23</f>
        <v>#6</v>
      </c>
      <c r="C19" s="1"/>
      <c r="D19" s="1"/>
      <c r="E19" s="1">
        <f t="shared" si="3"/>
        <v>1</v>
      </c>
      <c r="F19" s="15">
        <f>IF(ISBLANK(Historical_data_entry_1!F23),"na",Historical_data_entry_1!F23)</f>
        <v>35287</v>
      </c>
      <c r="G19" s="1">
        <f t="shared" si="4"/>
        <v>1247</v>
      </c>
      <c r="H19" s="17">
        <f>IF(ISBLANK(Historical_data_entry_1!H23),"na",Historical_data_entry_1!H23)</f>
        <v>4410</v>
      </c>
      <c r="I19" s="17">
        <f>IF(ISBLANK(Historical_data_entry_1!I23),"na",Historical_data_entry_1!I23)</f>
        <v>890</v>
      </c>
      <c r="J19" s="17" t="str">
        <f>IF(ISBLANK(Historical_data_entry_1!J23),"na",Historical_data_entry_1!J23)</f>
        <v>na</v>
      </c>
      <c r="K19" s="17">
        <f>IF(ISBLANK(Historical_data_entry_1!K23),"na",Historical_data_entry_1!K23)</f>
        <v>345</v>
      </c>
      <c r="L19" s="17" t="str">
        <f>IF(ISBLANK(Historical_data_entry_1!L23),"na",Historical_data_entry_1!L23)</f>
        <v>na</v>
      </c>
      <c r="M19" s="17">
        <f>IF(ISBLANK(Historical_data_entry_1!M23),"na",Historical_data_entry_1!M23)</f>
        <v>980</v>
      </c>
      <c r="N19" s="17" t="str">
        <f>IF(ISBLANK(Historical_data_entry_1!N23),"na",Historical_data_entry_1!N23)</f>
        <v>na</v>
      </c>
      <c r="O19" s="17" t="str">
        <f>IF(ISBLANK(Historical_data_entry_1!O23),"na",Historical_data_entry_1!O23)</f>
        <v>na</v>
      </c>
      <c r="P19" s="17">
        <f>IF(ISBLANK(Historical_data_entry_1!P23),"na",Historical_data_entry_1!P23)</f>
        <v>650</v>
      </c>
      <c r="Q19" s="17">
        <f>IF(ISBLANK(Historical_data_entry_1!Q23),"na",Historical_data_entry_1!Q23)</f>
        <v>650</v>
      </c>
      <c r="R19" s="17">
        <f>IF(ISBLANK(Historical_data_entry_1!R23),"na",Historical_data_entry_1!R23)</f>
        <v>1</v>
      </c>
      <c r="S19" s="17">
        <f>IF(ISBLANK(Historical_data_entry_1!S23),"na",Historical_data_entry_1!S23)</f>
        <v>1</v>
      </c>
      <c r="T19" s="17" t="str">
        <f>IF(ISBLANK(Historical_data_entry_1!T23),"na",Historical_data_entry_1!T23)</f>
        <v>na</v>
      </c>
      <c r="U19" s="17" t="str">
        <f>IF(ISBLANK(Historical_data_entry_1!U23),"na",Historical_data_entry_1!U23)</f>
        <v>na</v>
      </c>
      <c r="V19" s="17" t="str">
        <f>IF(ISBLANK(Historical_data_entry_1!V23),"na",Historical_data_entry_1!V23)</f>
        <v>na</v>
      </c>
      <c r="W19" s="187" t="str">
        <f>IF(ISBLANK(Historical_data_entry_1!W23),"na",Historical_data_entry_1!W23)</f>
        <v>na</v>
      </c>
    </row>
    <row r="20" spans="2:23" ht="15">
      <c r="B20" s="3" t="str">
        <f>Historical_data_entry_1!C24</f>
        <v>#7</v>
      </c>
      <c r="C20" s="1"/>
      <c r="D20" s="1"/>
      <c r="E20" s="1">
        <f t="shared" si="3"/>
        <v>1</v>
      </c>
      <c r="F20" s="15">
        <f>IF(ISBLANK(Historical_data_entry_1!F24),"na",Historical_data_entry_1!F24)</f>
        <v>35376</v>
      </c>
      <c r="G20" s="1">
        <f t="shared" si="4"/>
        <v>1336</v>
      </c>
      <c r="H20" s="17">
        <f>IF(ISBLANK(Historical_data_entry_1!H24),"na",Historical_data_entry_1!H24)</f>
        <v>3000</v>
      </c>
      <c r="I20" s="17">
        <f>IF(ISBLANK(Historical_data_entry_1!I24),"na",Historical_data_entry_1!I24)</f>
        <v>378</v>
      </c>
      <c r="J20" s="17">
        <f>IF(ISBLANK(Historical_data_entry_1!J24),"na",Historical_data_entry_1!J24)</f>
        <v>40</v>
      </c>
      <c r="K20" s="17" t="str">
        <f>IF(ISBLANK(Historical_data_entry_1!K24),"na",Historical_data_entry_1!K24)</f>
        <v>na</v>
      </c>
      <c r="L20" s="17" t="str">
        <f>IF(ISBLANK(Historical_data_entry_1!L24),"na",Historical_data_entry_1!L24)</f>
        <v>na</v>
      </c>
      <c r="M20" s="17">
        <f>IF(ISBLANK(Historical_data_entry_1!M24),"na",Historical_data_entry_1!M24)</f>
        <v>620</v>
      </c>
      <c r="N20" s="17">
        <f>IF(ISBLANK(Historical_data_entry_1!N24),"na",Historical_data_entry_1!N24)</f>
        <v>660</v>
      </c>
      <c r="O20" s="17" t="str">
        <f>IF(ISBLANK(Historical_data_entry_1!O24),"na",Historical_data_entry_1!O24)</f>
        <v>na</v>
      </c>
      <c r="P20" s="17">
        <f>IF(ISBLANK(Historical_data_entry_1!P24),"na",Historical_data_entry_1!P24)</f>
        <v>760</v>
      </c>
      <c r="Q20" s="17">
        <f>IF(ISBLANK(Historical_data_entry_1!Q24),"na",Historical_data_entry_1!Q24)</f>
        <v>760</v>
      </c>
      <c r="R20" s="17" t="str">
        <f>IF(ISBLANK(Historical_data_entry_1!R24),"na",Historical_data_entry_1!R24)</f>
        <v>na</v>
      </c>
      <c r="S20" s="17">
        <f>IF(ISBLANK(Historical_data_entry_1!S24),"na",Historical_data_entry_1!S24)</f>
        <v>1</v>
      </c>
      <c r="T20" s="17" t="str">
        <f>IF(ISBLANK(Historical_data_entry_1!T24),"na",Historical_data_entry_1!T24)</f>
        <v>na</v>
      </c>
      <c r="U20" s="17" t="str">
        <f>IF(ISBLANK(Historical_data_entry_1!U24),"na",Historical_data_entry_1!U24)</f>
        <v>na</v>
      </c>
      <c r="V20" s="17" t="str">
        <f>IF(ISBLANK(Historical_data_entry_1!V24),"na",Historical_data_entry_1!V24)</f>
        <v>na</v>
      </c>
      <c r="W20" s="187" t="str">
        <f>IF(ISBLANK(Historical_data_entry_1!W24),"na",Historical_data_entry_1!W24)</f>
        <v>na</v>
      </c>
    </row>
    <row r="21" spans="2:23" ht="15">
      <c r="B21" s="3" t="str">
        <f>Historical_data_entry_1!C25</f>
        <v>#8</v>
      </c>
      <c r="C21" s="1"/>
      <c r="D21" s="1"/>
      <c r="E21" s="1">
        <f t="shared" si="3"/>
        <v>1</v>
      </c>
      <c r="F21" s="15">
        <f>IF(ISBLANK(Historical_data_entry_1!F25),"na",Historical_data_entry_1!F25)</f>
        <v>35772</v>
      </c>
      <c r="G21" s="1">
        <f t="shared" si="4"/>
        <v>1732</v>
      </c>
      <c r="H21" s="17">
        <f>IF(ISBLANK(Historical_data_entry_1!H25),"na",Historical_data_entry_1!H25)</f>
        <v>3800</v>
      </c>
      <c r="I21" s="17">
        <f>IF(ISBLANK(Historical_data_entry_1!I25),"na",Historical_data_entry_1!I25)</f>
        <v>456</v>
      </c>
      <c r="J21" s="17">
        <f>IF(ISBLANK(Historical_data_entry_1!J25),"na",Historical_data_entry_1!J25)</f>
        <v>23</v>
      </c>
      <c r="K21" s="17">
        <f>IF(ISBLANK(Historical_data_entry_1!K25),"na",Historical_data_entry_1!K25)</f>
        <v>560</v>
      </c>
      <c r="L21" s="17" t="str">
        <f>IF(ISBLANK(Historical_data_entry_1!L25),"na",Historical_data_entry_1!L25)</f>
        <v>na</v>
      </c>
      <c r="M21" s="17">
        <f>IF(ISBLANK(Historical_data_entry_1!M25),"na",Historical_data_entry_1!M25)</f>
        <v>500</v>
      </c>
      <c r="N21" s="17">
        <f>IF(ISBLANK(Historical_data_entry_1!N25),"na",Historical_data_entry_1!N25)</f>
        <v>339</v>
      </c>
      <c r="O21" s="17" t="str">
        <f>IF(ISBLANK(Historical_data_entry_1!O25),"na",Historical_data_entry_1!O25)</f>
        <v>na</v>
      </c>
      <c r="P21" s="17">
        <f>IF(ISBLANK(Historical_data_entry_1!P25),"na",Historical_data_entry_1!P25)</f>
        <v>360</v>
      </c>
      <c r="Q21" s="17">
        <f>IF(ISBLANK(Historical_data_entry_1!Q25),"na",Historical_data_entry_1!Q25)</f>
        <v>360</v>
      </c>
      <c r="R21" s="17" t="str">
        <f>IF(ISBLANK(Historical_data_entry_1!R25),"na",Historical_data_entry_1!R25)</f>
        <v>na</v>
      </c>
      <c r="S21" s="17">
        <f>IF(ISBLANK(Historical_data_entry_1!S25),"na",Historical_data_entry_1!S25)</f>
        <v>1</v>
      </c>
      <c r="T21" s="17" t="str">
        <f>IF(ISBLANK(Historical_data_entry_1!T25),"na",Historical_data_entry_1!T25)</f>
        <v>na</v>
      </c>
      <c r="U21" s="17" t="str">
        <f>IF(ISBLANK(Historical_data_entry_1!U25),"na",Historical_data_entry_1!U25)</f>
        <v>na</v>
      </c>
      <c r="V21" s="17" t="str">
        <f>IF(ISBLANK(Historical_data_entry_1!V25),"na",Historical_data_entry_1!V25)</f>
        <v>na</v>
      </c>
      <c r="W21" s="187" t="str">
        <f>IF(ISBLANK(Historical_data_entry_1!W25),"na",Historical_data_entry_1!W25)</f>
        <v>na</v>
      </c>
    </row>
    <row r="22" spans="2:23" ht="15">
      <c r="B22" s="3" t="str">
        <f>Historical_data_entry_1!C26</f>
        <v>#9</v>
      </c>
      <c r="C22" s="1"/>
      <c r="D22" s="1"/>
      <c r="E22" s="1">
        <f t="shared" si="3"/>
        <v>1</v>
      </c>
      <c r="F22" s="15">
        <f>IF(ISBLANK(Historical_data_entry_1!F26),"na",Historical_data_entry_1!F26)</f>
        <v>35881</v>
      </c>
      <c r="G22" s="1">
        <f t="shared" si="4"/>
        <v>1841</v>
      </c>
      <c r="H22" s="17">
        <f>IF(ISBLANK(Historical_data_entry_1!H26),"na",Historical_data_entry_1!H26)</f>
        <v>2900</v>
      </c>
      <c r="I22" s="17">
        <f>IF(ISBLANK(Historical_data_entry_1!I26),"na",Historical_data_entry_1!I26)</f>
        <v>78</v>
      </c>
      <c r="J22" s="17">
        <f>IF(ISBLANK(Historical_data_entry_1!J26),"na",Historical_data_entry_1!J26)</f>
        <v>10</v>
      </c>
      <c r="K22" s="17" t="str">
        <f>IF(ISBLANK(Historical_data_entry_1!K26),"na",Historical_data_entry_1!K26)</f>
        <v>na</v>
      </c>
      <c r="L22" s="17" t="str">
        <f>IF(ISBLANK(Historical_data_entry_1!L26),"na",Historical_data_entry_1!L26)</f>
        <v>na</v>
      </c>
      <c r="M22" s="17">
        <f>IF(ISBLANK(Historical_data_entry_1!M26),"na",Historical_data_entry_1!M26)</f>
        <v>635</v>
      </c>
      <c r="N22" s="17">
        <f>IF(ISBLANK(Historical_data_entry_1!N26),"na",Historical_data_entry_1!N26)</f>
        <v>426</v>
      </c>
      <c r="O22" s="17" t="str">
        <f>IF(ISBLANK(Historical_data_entry_1!O26),"na",Historical_data_entry_1!O26)</f>
        <v>na</v>
      </c>
      <c r="P22" s="17" t="str">
        <f>IF(ISBLANK(Historical_data_entry_1!P26),"na",Historical_data_entry_1!P26)</f>
        <v>na</v>
      </c>
      <c r="Q22" s="17">
        <f>IF(ISBLANK(Historical_data_entry_1!Q26),"na",Historical_data_entry_1!Q26)</f>
        <v>455</v>
      </c>
      <c r="R22" s="17" t="str">
        <f>IF(ISBLANK(Historical_data_entry_1!R26),"na",Historical_data_entry_1!R26)</f>
        <v>na</v>
      </c>
      <c r="S22" s="17" t="str">
        <f>IF(ISBLANK(Historical_data_entry_1!S26),"na",Historical_data_entry_1!S26)</f>
        <v>na</v>
      </c>
      <c r="T22" s="17" t="str">
        <f>IF(ISBLANK(Historical_data_entry_1!T26),"na",Historical_data_entry_1!T26)</f>
        <v>na</v>
      </c>
      <c r="U22" s="17" t="str">
        <f>IF(ISBLANK(Historical_data_entry_1!U26),"na",Historical_data_entry_1!U26)</f>
        <v>na</v>
      </c>
      <c r="V22" s="17" t="str">
        <f>IF(ISBLANK(Historical_data_entry_1!V26),"na",Historical_data_entry_1!V26)</f>
        <v>na</v>
      </c>
      <c r="W22" s="187" t="str">
        <f>IF(ISBLANK(Historical_data_entry_1!W26),"na",Historical_data_entry_1!W26)</f>
        <v>na</v>
      </c>
    </row>
    <row r="23" spans="2:23" ht="15">
      <c r="B23" s="3" t="str">
        <f>Historical_data_entry_1!C27</f>
        <v>#10</v>
      </c>
      <c r="C23" s="1"/>
      <c r="D23" s="1"/>
      <c r="E23" s="1">
        <f t="shared" si="3"/>
        <v>1</v>
      </c>
      <c r="F23" s="15">
        <f>IF(ISBLANK(Historical_data_entry_1!F27),"na",Historical_data_entry_1!F27)</f>
        <v>35999</v>
      </c>
      <c r="G23" s="1">
        <f t="shared" si="4"/>
        <v>1959</v>
      </c>
      <c r="H23" s="17">
        <f>IF(ISBLANK(Historical_data_entry_1!H27),"na",Historical_data_entry_1!H27)</f>
        <v>3200</v>
      </c>
      <c r="I23" s="17">
        <f>IF(ISBLANK(Historical_data_entry_1!I27),"na",Historical_data_entry_1!I27)</f>
        <v>22</v>
      </c>
      <c r="J23" s="17">
        <f>IF(ISBLANK(Historical_data_entry_1!J27),"na",Historical_data_entry_1!J27)</f>
        <v>4</v>
      </c>
      <c r="K23" s="17" t="str">
        <f>IF(ISBLANK(Historical_data_entry_1!K27),"na",Historical_data_entry_1!K27)</f>
        <v>na</v>
      </c>
      <c r="L23" s="17" t="str">
        <f>IF(ISBLANK(Historical_data_entry_1!L27),"na",Historical_data_entry_1!L27)</f>
        <v>na</v>
      </c>
      <c r="M23" s="17">
        <f>IF(ISBLANK(Historical_data_entry_1!M27),"na",Historical_data_entry_1!M27)</f>
        <v>470</v>
      </c>
      <c r="N23" s="17">
        <f>IF(ISBLANK(Historical_data_entry_1!N27),"na",Historical_data_entry_1!N27)</f>
        <v>419</v>
      </c>
      <c r="O23" s="17" t="str">
        <f>IF(ISBLANK(Historical_data_entry_1!O27),"na",Historical_data_entry_1!O27)</f>
        <v>na</v>
      </c>
      <c r="P23" s="17" t="str">
        <f>IF(ISBLANK(Historical_data_entry_1!P27),"na",Historical_data_entry_1!P27)</f>
        <v>na</v>
      </c>
      <c r="Q23" s="17">
        <f>IF(ISBLANK(Historical_data_entry_1!Q27),"na",Historical_data_entry_1!Q27)</f>
        <v>467</v>
      </c>
      <c r="R23" s="17" t="str">
        <f>IF(ISBLANK(Historical_data_entry_1!R27),"na",Historical_data_entry_1!R27)</f>
        <v>na</v>
      </c>
      <c r="S23" s="17" t="str">
        <f>IF(ISBLANK(Historical_data_entry_1!S27),"na",Historical_data_entry_1!S27)</f>
        <v>na</v>
      </c>
      <c r="T23" s="17" t="str">
        <f>IF(ISBLANK(Historical_data_entry_1!T27),"na",Historical_data_entry_1!T27)</f>
        <v>na</v>
      </c>
      <c r="U23" s="17" t="str">
        <f>IF(ISBLANK(Historical_data_entry_1!U27),"na",Historical_data_entry_1!U27)</f>
        <v>na</v>
      </c>
      <c r="V23" s="17" t="str">
        <f>IF(ISBLANK(Historical_data_entry_1!V27),"na",Historical_data_entry_1!V27)</f>
        <v>na</v>
      </c>
      <c r="W23" s="187" t="str">
        <f>IF(ISBLANK(Historical_data_entry_1!W27),"na",Historical_data_entry_1!W27)</f>
        <v>na</v>
      </c>
    </row>
    <row r="24" spans="2:23" ht="15">
      <c r="B24" s="3" t="str">
        <f>Historical_data_entry_1!C28</f>
        <v>#11</v>
      </c>
      <c r="C24" s="1"/>
      <c r="D24" s="1"/>
      <c r="E24" s="1">
        <f t="shared" si="3"/>
        <v>1</v>
      </c>
      <c r="F24" s="15">
        <f>IF(ISBLANK(Historical_data_entry_1!F28),"na",Historical_data_entry_1!F28)</f>
        <v>36056</v>
      </c>
      <c r="G24" s="1">
        <f t="shared" si="4"/>
        <v>2016</v>
      </c>
      <c r="H24" s="17">
        <f>IF(ISBLANK(Historical_data_entry_1!H28),"na",Historical_data_entry_1!H28)</f>
        <v>3200</v>
      </c>
      <c r="I24" s="17">
        <f>IF(ISBLANK(Historical_data_entry_1!I28),"na",Historical_data_entry_1!I28)</f>
        <v>8</v>
      </c>
      <c r="J24" s="17">
        <f>IF(ISBLANK(Historical_data_entry_1!J28),"na",Historical_data_entry_1!J28)</f>
        <v>2</v>
      </c>
      <c r="K24" s="17" t="str">
        <f>IF(ISBLANK(Historical_data_entry_1!K28),"na",Historical_data_entry_1!K28)</f>
        <v>na</v>
      </c>
      <c r="L24" s="17" t="str">
        <f>IF(ISBLANK(Historical_data_entry_1!L28),"na",Historical_data_entry_1!L28)</f>
        <v>na</v>
      </c>
      <c r="M24" s="17">
        <f>IF(ISBLANK(Historical_data_entry_1!M28),"na",Historical_data_entry_1!M28)</f>
        <v>1210</v>
      </c>
      <c r="N24" s="17" t="str">
        <f>IF(ISBLANK(Historical_data_entry_1!N28),"na",Historical_data_entry_1!N28)</f>
        <v>na</v>
      </c>
      <c r="O24" s="17" t="str">
        <f>IF(ISBLANK(Historical_data_entry_1!O28),"na",Historical_data_entry_1!O28)</f>
        <v>na</v>
      </c>
      <c r="P24" s="17" t="str">
        <f>IF(ISBLANK(Historical_data_entry_1!P28),"na",Historical_data_entry_1!P28)</f>
        <v>na</v>
      </c>
      <c r="Q24" s="17" t="str">
        <f>IF(ISBLANK(Historical_data_entry_1!Q28),"na",Historical_data_entry_1!Q28)</f>
        <v>na</v>
      </c>
      <c r="R24" s="17" t="str">
        <f>IF(ISBLANK(Historical_data_entry_1!R28),"na",Historical_data_entry_1!R28)</f>
        <v>na</v>
      </c>
      <c r="S24" s="17" t="str">
        <f>IF(ISBLANK(Historical_data_entry_1!S28),"na",Historical_data_entry_1!S28)</f>
        <v>na</v>
      </c>
      <c r="T24" s="17" t="str">
        <f>IF(ISBLANK(Historical_data_entry_1!T28),"na",Historical_data_entry_1!T28)</f>
        <v>na</v>
      </c>
      <c r="U24" s="17" t="str">
        <f>IF(ISBLANK(Historical_data_entry_1!U28),"na",Historical_data_entry_1!U28)</f>
        <v>na</v>
      </c>
      <c r="V24" s="17" t="str">
        <f>IF(ISBLANK(Historical_data_entry_1!V28),"na",Historical_data_entry_1!V28)</f>
        <v>na</v>
      </c>
      <c r="W24" s="187" t="str">
        <f>IF(ISBLANK(Historical_data_entry_1!W28),"na",Historical_data_entry_1!W28)</f>
        <v>na</v>
      </c>
    </row>
    <row r="25" spans="2:23" ht="15">
      <c r="B25" s="3" t="str">
        <f>Historical_data_entry_1!C29</f>
        <v>#12</v>
      </c>
      <c r="C25" s="1"/>
      <c r="D25" s="1"/>
      <c r="E25" s="1">
        <f t="shared" si="3"/>
        <v>1</v>
      </c>
      <c r="F25" s="15">
        <f>IF(ISBLANK(Historical_data_entry_1!F29),"na",Historical_data_entry_1!F29)</f>
        <v>36145</v>
      </c>
      <c r="G25" s="1">
        <f t="shared" si="4"/>
        <v>2105</v>
      </c>
      <c r="H25" s="17">
        <f>IF(ISBLANK(Historical_data_entry_1!H29),"na",Historical_data_entry_1!H29)</f>
        <v>1200</v>
      </c>
      <c r="I25" s="17">
        <f>IF(ISBLANK(Historical_data_entry_1!I29),"na",Historical_data_entry_1!I29)</f>
        <v>12</v>
      </c>
      <c r="J25" s="17">
        <f>IF(ISBLANK(Historical_data_entry_1!J29),"na",Historical_data_entry_1!J29)</f>
        <v>7</v>
      </c>
      <c r="K25" s="17" t="str">
        <f>IF(ISBLANK(Historical_data_entry_1!K29),"na",Historical_data_entry_1!K29)</f>
        <v>na</v>
      </c>
      <c r="L25" s="17" t="str">
        <f>IF(ISBLANK(Historical_data_entry_1!L29),"na",Historical_data_entry_1!L29)</f>
        <v>na</v>
      </c>
      <c r="M25" s="17">
        <f>IF(ISBLANK(Historical_data_entry_1!M29),"na",Historical_data_entry_1!M29)</f>
        <v>379</v>
      </c>
      <c r="N25" s="17">
        <f>IF(ISBLANK(Historical_data_entry_1!N29),"na",Historical_data_entry_1!N29)</f>
        <v>144</v>
      </c>
      <c r="O25" s="17" t="str">
        <f>IF(ISBLANK(Historical_data_entry_1!O29),"na",Historical_data_entry_1!O29)</f>
        <v>na</v>
      </c>
      <c r="P25" s="17">
        <f>IF(ISBLANK(Historical_data_entry_1!P29),"na",Historical_data_entry_1!P29)</f>
        <v>566</v>
      </c>
      <c r="Q25" s="17">
        <f>IF(ISBLANK(Historical_data_entry_1!Q29),"na",Historical_data_entry_1!Q29)</f>
        <v>345</v>
      </c>
      <c r="R25" s="17" t="str">
        <f>IF(ISBLANK(Historical_data_entry_1!R29),"na",Historical_data_entry_1!R29)</f>
        <v>na</v>
      </c>
      <c r="S25" s="17" t="str">
        <f>IF(ISBLANK(Historical_data_entry_1!S29),"na",Historical_data_entry_1!S29)</f>
        <v>na</v>
      </c>
      <c r="T25" s="17" t="str">
        <f>IF(ISBLANK(Historical_data_entry_1!T29),"na",Historical_data_entry_1!T29)</f>
        <v>na</v>
      </c>
      <c r="U25" s="17" t="str">
        <f>IF(ISBLANK(Historical_data_entry_1!U29),"na",Historical_data_entry_1!U29)</f>
        <v>na</v>
      </c>
      <c r="V25" s="17" t="str">
        <f>IF(ISBLANK(Historical_data_entry_1!V29),"na",Historical_data_entry_1!V29)</f>
        <v>na</v>
      </c>
      <c r="W25" s="187" t="str">
        <f>IF(ISBLANK(Historical_data_entry_1!W29),"na",Historical_data_entry_1!W29)</f>
        <v>na</v>
      </c>
    </row>
    <row r="26" spans="2:23" ht="15">
      <c r="B26" s="3" t="str">
        <f>Historical_data_entry_1!C30</f>
        <v>#13</v>
      </c>
      <c r="C26" s="1"/>
      <c r="D26" s="1"/>
      <c r="E26" s="1">
        <f t="shared" si="3"/>
        <v>1</v>
      </c>
      <c r="F26" s="15">
        <f>IF(ISBLANK(Historical_data_entry_1!F30),"na",Historical_data_entry_1!F30)</f>
        <v>36220</v>
      </c>
      <c r="G26" s="1">
        <f t="shared" si="4"/>
        <v>2180</v>
      </c>
      <c r="H26" s="17">
        <f>IF(ISBLANK(Historical_data_entry_1!H30),"na",Historical_data_entry_1!H30)</f>
        <v>2350</v>
      </c>
      <c r="I26" s="17">
        <f>IF(ISBLANK(Historical_data_entry_1!I30),"na",Historical_data_entry_1!I30)</f>
        <v>5</v>
      </c>
      <c r="J26" s="17" t="str">
        <f>IF(ISBLANK(Historical_data_entry_1!J30),"na",Historical_data_entry_1!J30)</f>
        <v>na</v>
      </c>
      <c r="K26" s="17" t="str">
        <f>IF(ISBLANK(Historical_data_entry_1!K30),"na",Historical_data_entry_1!K30)</f>
        <v>na</v>
      </c>
      <c r="L26" s="17" t="str">
        <f>IF(ISBLANK(Historical_data_entry_1!L30),"na",Historical_data_entry_1!L30)</f>
        <v>na</v>
      </c>
      <c r="M26" s="17">
        <f>IF(ISBLANK(Historical_data_entry_1!M30),"na",Historical_data_entry_1!M30)</f>
        <v>700</v>
      </c>
      <c r="N26" s="17">
        <f>IF(ISBLANK(Historical_data_entry_1!N30),"na",Historical_data_entry_1!N30)</f>
        <v>123</v>
      </c>
      <c r="O26" s="17" t="str">
        <f>IF(ISBLANK(Historical_data_entry_1!O30),"na",Historical_data_entry_1!O30)</f>
        <v>na</v>
      </c>
      <c r="P26" s="17">
        <f>IF(ISBLANK(Historical_data_entry_1!P30),"na",Historical_data_entry_1!P30)</f>
        <v>56</v>
      </c>
      <c r="Q26" s="17">
        <f>IF(ISBLANK(Historical_data_entry_1!Q30),"na",Historical_data_entry_1!Q30)</f>
        <v>450</v>
      </c>
      <c r="R26" s="17" t="str">
        <f>IF(ISBLANK(Historical_data_entry_1!R30),"na",Historical_data_entry_1!R30)</f>
        <v>na</v>
      </c>
      <c r="S26" s="17" t="str">
        <f>IF(ISBLANK(Historical_data_entry_1!S30),"na",Historical_data_entry_1!S30)</f>
        <v>na</v>
      </c>
      <c r="T26" s="17" t="str">
        <f>IF(ISBLANK(Historical_data_entry_1!T30),"na",Historical_data_entry_1!T30)</f>
        <v>na</v>
      </c>
      <c r="U26" s="17" t="str">
        <f>IF(ISBLANK(Historical_data_entry_1!U30),"na",Historical_data_entry_1!U30)</f>
        <v>na</v>
      </c>
      <c r="V26" s="17" t="str">
        <f>IF(ISBLANK(Historical_data_entry_1!V30),"na",Historical_data_entry_1!V30)</f>
        <v>na</v>
      </c>
      <c r="W26" s="187" t="str">
        <f>IF(ISBLANK(Historical_data_entry_1!W30),"na",Historical_data_entry_1!W30)</f>
        <v>na</v>
      </c>
    </row>
    <row r="27" spans="2:23" ht="15">
      <c r="B27" s="3" t="str">
        <f>Historical_data_entry_1!C31</f>
        <v>#14</v>
      </c>
      <c r="C27" s="1"/>
      <c r="D27" s="1"/>
      <c r="E27" s="1">
        <f t="shared" si="3"/>
        <v>1</v>
      </c>
      <c r="F27" s="15">
        <f>IF(ISBLANK(Historical_data_entry_1!F31),"na",Historical_data_entry_1!F31)</f>
        <v>36332</v>
      </c>
      <c r="G27" s="1">
        <f t="shared" si="4"/>
        <v>2292</v>
      </c>
      <c r="H27" s="17" t="str">
        <f>IF(ISBLANK(Historical_data_entry_1!H31),"na",Historical_data_entry_1!H31)</f>
        <v>na</v>
      </c>
      <c r="I27" s="17" t="str">
        <f>IF(ISBLANK(Historical_data_entry_1!I31),"na",Historical_data_entry_1!I31)</f>
        <v>na</v>
      </c>
      <c r="J27" s="17" t="str">
        <f>IF(ISBLANK(Historical_data_entry_1!J31),"na",Historical_data_entry_1!J31)</f>
        <v>na</v>
      </c>
      <c r="K27" s="17" t="str">
        <f>IF(ISBLANK(Historical_data_entry_1!K31),"na",Historical_data_entry_1!K31)</f>
        <v>na</v>
      </c>
      <c r="L27" s="17" t="str">
        <f>IF(ISBLANK(Historical_data_entry_1!L31),"na",Historical_data_entry_1!L31)</f>
        <v>na</v>
      </c>
      <c r="M27" s="17">
        <f>IF(ISBLANK(Historical_data_entry_1!M31),"na",Historical_data_entry_1!M31)</f>
        <v>574</v>
      </c>
      <c r="N27" s="17">
        <f>IF(ISBLANK(Historical_data_entry_1!N31),"na",Historical_data_entry_1!N31)</f>
        <v>464</v>
      </c>
      <c r="O27" s="17" t="str">
        <f>IF(ISBLANK(Historical_data_entry_1!O31),"na",Historical_data_entry_1!O31)</f>
        <v>na</v>
      </c>
      <c r="P27" s="17" t="str">
        <f>IF(ISBLANK(Historical_data_entry_1!P31),"na",Historical_data_entry_1!P31)</f>
        <v>na</v>
      </c>
      <c r="Q27" s="17" t="str">
        <f>IF(ISBLANK(Historical_data_entry_1!Q31),"na",Historical_data_entry_1!Q31)</f>
        <v>na</v>
      </c>
      <c r="R27" s="17" t="str">
        <f>IF(ISBLANK(Historical_data_entry_1!R31),"na",Historical_data_entry_1!R31)</f>
        <v>na</v>
      </c>
      <c r="S27" s="17" t="str">
        <f>IF(ISBLANK(Historical_data_entry_1!S31),"na",Historical_data_entry_1!S31)</f>
        <v>na</v>
      </c>
      <c r="T27" s="17" t="str">
        <f>IF(ISBLANK(Historical_data_entry_1!T31),"na",Historical_data_entry_1!T31)</f>
        <v>na</v>
      </c>
      <c r="U27" s="17" t="str">
        <f>IF(ISBLANK(Historical_data_entry_1!U31),"na",Historical_data_entry_1!U31)</f>
        <v>na</v>
      </c>
      <c r="V27" s="17" t="str">
        <f>IF(ISBLANK(Historical_data_entry_1!V31),"na",Historical_data_entry_1!V31)</f>
        <v>na</v>
      </c>
      <c r="W27" s="187" t="str">
        <f>IF(ISBLANK(Historical_data_entry_1!W31),"na",Historical_data_entry_1!W31)</f>
        <v>na</v>
      </c>
    </row>
    <row r="28" spans="2:23" ht="15">
      <c r="B28" s="3" t="str">
        <f>Historical_data_entry_1!C32</f>
        <v>#15</v>
      </c>
      <c r="C28" s="1"/>
      <c r="D28" s="1"/>
      <c r="E28" s="1">
        <f t="shared" si="3"/>
        <v>1</v>
      </c>
      <c r="F28" s="15">
        <f>IF(ISBLANK(Historical_data_entry_1!F32),"na",Historical_data_entry_1!F32)</f>
        <v>36410</v>
      </c>
      <c r="G28" s="1">
        <f t="shared" si="4"/>
        <v>2370</v>
      </c>
      <c r="H28" s="17" t="str">
        <f>IF(ISBLANK(Historical_data_entry_1!H32),"na",Historical_data_entry_1!H32)</f>
        <v>na</v>
      </c>
      <c r="I28" s="17" t="str">
        <f>IF(ISBLANK(Historical_data_entry_1!I32),"na",Historical_data_entry_1!I32)</f>
        <v>na</v>
      </c>
      <c r="J28" s="17" t="str">
        <f>IF(ISBLANK(Historical_data_entry_1!J32),"na",Historical_data_entry_1!J32)</f>
        <v>na</v>
      </c>
      <c r="K28" s="17" t="str">
        <f>IF(ISBLANK(Historical_data_entry_1!K32),"na",Historical_data_entry_1!K32)</f>
        <v>na</v>
      </c>
      <c r="L28" s="17" t="str">
        <f>IF(ISBLANK(Historical_data_entry_1!L32),"na",Historical_data_entry_1!L32)</f>
        <v>na</v>
      </c>
      <c r="M28" s="17">
        <f>IF(ISBLANK(Historical_data_entry_1!M32),"na",Historical_data_entry_1!M32)</f>
        <v>1050</v>
      </c>
      <c r="N28" s="17">
        <f>IF(ISBLANK(Historical_data_entry_1!N32),"na",Historical_data_entry_1!N32)</f>
        <v>155</v>
      </c>
      <c r="O28" s="17" t="str">
        <f>IF(ISBLANK(Historical_data_entry_1!O32),"na",Historical_data_entry_1!O32)</f>
        <v>na</v>
      </c>
      <c r="P28" s="17" t="str">
        <f>IF(ISBLANK(Historical_data_entry_1!P32),"na",Historical_data_entry_1!P32)</f>
        <v>na</v>
      </c>
      <c r="Q28" s="17" t="str">
        <f>IF(ISBLANK(Historical_data_entry_1!Q32),"na",Historical_data_entry_1!Q32)</f>
        <v>na</v>
      </c>
      <c r="R28" s="17" t="str">
        <f>IF(ISBLANK(Historical_data_entry_1!R32),"na",Historical_data_entry_1!R32)</f>
        <v>na</v>
      </c>
      <c r="S28" s="17" t="str">
        <f>IF(ISBLANK(Historical_data_entry_1!S32),"na",Historical_data_entry_1!S32)</f>
        <v>na</v>
      </c>
      <c r="T28" s="17" t="str">
        <f>IF(ISBLANK(Historical_data_entry_1!T32),"na",Historical_data_entry_1!T32)</f>
        <v>na</v>
      </c>
      <c r="U28" s="17" t="str">
        <f>IF(ISBLANK(Historical_data_entry_1!U32),"na",Historical_data_entry_1!U32)</f>
        <v>na</v>
      </c>
      <c r="V28" s="17" t="str">
        <f>IF(ISBLANK(Historical_data_entry_1!V32),"na",Historical_data_entry_1!V32)</f>
        <v>na</v>
      </c>
      <c r="W28" s="187" t="str">
        <f>IF(ISBLANK(Historical_data_entry_1!W32),"na",Historical_data_entry_1!W32)</f>
        <v>na</v>
      </c>
    </row>
    <row r="29" spans="2:23" ht="15">
      <c r="B29" s="3" t="str">
        <f>Historical_data_entry_1!C33</f>
        <v>#16</v>
      </c>
      <c r="C29" s="1"/>
      <c r="D29" s="1"/>
      <c r="E29" s="1">
        <f t="shared" si="3"/>
        <v>1</v>
      </c>
      <c r="F29" s="15">
        <f>IF(ISBLANK(Historical_data_entry_1!F33),"na",Historical_data_entry_1!F33)</f>
        <v>36524</v>
      </c>
      <c r="G29" s="1">
        <f>IF(E29=1,IF(ISTEXT(F29),"na ",-($F$55-F29)),"Check again?")</f>
        <v>2484</v>
      </c>
      <c r="H29" s="17" t="str">
        <f>IF(ISBLANK(Historical_data_entry_1!H33),"na",Historical_data_entry_1!H33)</f>
        <v>na</v>
      </c>
      <c r="I29" s="17" t="str">
        <f>IF(ISBLANK(Historical_data_entry_1!I33),"na",Historical_data_entry_1!I33)</f>
        <v>na</v>
      </c>
      <c r="J29" s="17" t="str">
        <f>IF(ISBLANK(Historical_data_entry_1!J33),"na",Historical_data_entry_1!J33)</f>
        <v>na</v>
      </c>
      <c r="K29" s="17" t="str">
        <f>IF(ISBLANK(Historical_data_entry_1!K33),"na",Historical_data_entry_1!K33)</f>
        <v>na</v>
      </c>
      <c r="L29" s="17" t="str">
        <f>IF(ISBLANK(Historical_data_entry_1!L33),"na",Historical_data_entry_1!L33)</f>
        <v>na</v>
      </c>
      <c r="M29" s="17">
        <f>IF(ISBLANK(Historical_data_entry_1!M33),"na",Historical_data_entry_1!M33)</f>
        <v>525</v>
      </c>
      <c r="N29" s="17">
        <f>IF(ISBLANK(Historical_data_entry_1!N33),"na",Historical_data_entry_1!N33)</f>
        <v>220</v>
      </c>
      <c r="O29" s="17" t="str">
        <f>IF(ISBLANK(Historical_data_entry_1!O33),"na",Historical_data_entry_1!O33)</f>
        <v>na</v>
      </c>
      <c r="P29" s="17" t="str">
        <f>IF(ISBLANK(Historical_data_entry_1!P33),"na",Historical_data_entry_1!P33)</f>
        <v>na</v>
      </c>
      <c r="Q29" s="17" t="str">
        <f>IF(ISBLANK(Historical_data_entry_1!Q33),"na",Historical_data_entry_1!Q33)</f>
        <v>na</v>
      </c>
      <c r="R29" s="17" t="str">
        <f>IF(ISBLANK(Historical_data_entry_1!R33),"na",Historical_data_entry_1!R33)</f>
        <v>na</v>
      </c>
      <c r="S29" s="17" t="str">
        <f>IF(ISBLANK(Historical_data_entry_1!S33),"na",Historical_data_entry_1!S33)</f>
        <v>na</v>
      </c>
      <c r="T29" s="17" t="str">
        <f>IF(ISBLANK(Historical_data_entry_1!T33),"na",Historical_data_entry_1!T33)</f>
        <v>na</v>
      </c>
      <c r="U29" s="17" t="str">
        <f>IF(ISBLANK(Historical_data_entry_1!U33),"na",Historical_data_entry_1!U33)</f>
        <v>na</v>
      </c>
      <c r="V29" s="17" t="str">
        <f>IF(ISBLANK(Historical_data_entry_1!V33),"na",Historical_data_entry_1!V33)</f>
        <v>na</v>
      </c>
      <c r="W29" s="187" t="str">
        <f>IF(ISBLANK(Historical_data_entry_1!W33),"na",Historical_data_entry_1!W33)</f>
        <v>na</v>
      </c>
    </row>
    <row r="30" spans="2:23" ht="15">
      <c r="B30" s="3" t="str">
        <f>Historical_data_entry_1!C34</f>
        <v>#17</v>
      </c>
      <c r="C30" s="1"/>
      <c r="D30" s="1"/>
      <c r="E30" s="1">
        <f t="shared" si="3"/>
        <v>1</v>
      </c>
      <c r="F30" s="15">
        <f>IF(ISBLANK(Historical_data_entry_1!F34),"na",Historical_data_entry_1!F34)</f>
        <v>36605</v>
      </c>
      <c r="G30" s="1">
        <f>IF(E30=1,IF(ISTEXT(F30),"na ",-($F$55-F30)),"Check again?")</f>
        <v>2565</v>
      </c>
      <c r="H30" s="17" t="str">
        <f>IF(ISBLANK(Historical_data_entry_1!H34),"na",Historical_data_entry_1!H34)</f>
        <v>na</v>
      </c>
      <c r="I30" s="17" t="str">
        <f>IF(ISBLANK(Historical_data_entry_1!I34),"na",Historical_data_entry_1!I34)</f>
        <v>na</v>
      </c>
      <c r="J30" s="17" t="str">
        <f>IF(ISBLANK(Historical_data_entry_1!J34),"na",Historical_data_entry_1!J34)</f>
        <v>na</v>
      </c>
      <c r="K30" s="17" t="str">
        <f>IF(ISBLANK(Historical_data_entry_1!K34),"na",Historical_data_entry_1!K34)</f>
        <v>na</v>
      </c>
      <c r="L30" s="17" t="str">
        <f>IF(ISBLANK(Historical_data_entry_1!L34),"na",Historical_data_entry_1!L34)</f>
        <v>na</v>
      </c>
      <c r="M30" s="17">
        <f>IF(ISBLANK(Historical_data_entry_1!M34),"na",Historical_data_entry_1!M34)</f>
        <v>501</v>
      </c>
      <c r="N30" s="17">
        <f>IF(ISBLANK(Historical_data_entry_1!N34),"na",Historical_data_entry_1!N34)</f>
        <v>173</v>
      </c>
      <c r="O30" s="17" t="str">
        <f>IF(ISBLANK(Historical_data_entry_1!O34),"na",Historical_data_entry_1!O34)</f>
        <v>na</v>
      </c>
      <c r="P30" s="17" t="str">
        <f>IF(ISBLANK(Historical_data_entry_1!P34),"na",Historical_data_entry_1!P34)</f>
        <v>na</v>
      </c>
      <c r="Q30" s="17" t="str">
        <f>IF(ISBLANK(Historical_data_entry_1!Q34),"na",Historical_data_entry_1!Q34)</f>
        <v>na</v>
      </c>
      <c r="R30" s="17" t="str">
        <f>IF(ISBLANK(Historical_data_entry_1!R34),"na",Historical_data_entry_1!R34)</f>
        <v>na</v>
      </c>
      <c r="S30" s="17" t="str">
        <f>IF(ISBLANK(Historical_data_entry_1!S34),"na",Historical_data_entry_1!S34)</f>
        <v>na</v>
      </c>
      <c r="T30" s="17" t="str">
        <f>IF(ISBLANK(Historical_data_entry_1!T34),"na",Historical_data_entry_1!T34)</f>
        <v>na</v>
      </c>
      <c r="U30" s="17" t="str">
        <f>IF(ISBLANK(Historical_data_entry_1!U34),"na",Historical_data_entry_1!U34)</f>
        <v>na</v>
      </c>
      <c r="V30" s="17" t="str">
        <f>IF(ISBLANK(Historical_data_entry_1!V34),"na",Historical_data_entry_1!V34)</f>
        <v>na</v>
      </c>
      <c r="W30" s="187" t="str">
        <f>IF(ISBLANK(Historical_data_entry_1!W34),"na",Historical_data_entry_1!W34)</f>
        <v>na</v>
      </c>
    </row>
    <row r="31" spans="2:23" ht="15">
      <c r="B31" s="3" t="str">
        <f>Historical_data_entry_1!C35</f>
        <v>#18</v>
      </c>
      <c r="C31" s="1"/>
      <c r="D31" s="1"/>
      <c r="E31" s="1">
        <f t="shared" si="3"/>
        <v>1</v>
      </c>
      <c r="F31" s="15">
        <f>IF(ISBLANK(Historical_data_entry_1!F35),"na",Historical_data_entry_1!F35)</f>
        <v>36699</v>
      </c>
      <c r="G31" s="1">
        <f>IF(E31=1,IF(ISTEXT(F31),"na ",-($F$55-F31)),"Check again?")</f>
        <v>2659</v>
      </c>
      <c r="H31" s="17" t="str">
        <f>IF(ISBLANK(Historical_data_entry_1!H35),"na",Historical_data_entry_1!H35)</f>
        <v>na</v>
      </c>
      <c r="I31" s="17" t="str">
        <f>IF(ISBLANK(Historical_data_entry_1!I35),"na",Historical_data_entry_1!I35)</f>
        <v>na</v>
      </c>
      <c r="J31" s="17" t="str">
        <f>IF(ISBLANK(Historical_data_entry_1!J35),"na",Historical_data_entry_1!J35)</f>
        <v>na</v>
      </c>
      <c r="K31" s="17" t="str">
        <f>IF(ISBLANK(Historical_data_entry_1!K35),"na",Historical_data_entry_1!K35)</f>
        <v>na</v>
      </c>
      <c r="L31" s="17" t="str">
        <f>IF(ISBLANK(Historical_data_entry_1!L35),"na",Historical_data_entry_1!L35)</f>
        <v>na</v>
      </c>
      <c r="M31" s="17">
        <f>IF(ISBLANK(Historical_data_entry_1!M35),"na",Historical_data_entry_1!M35)</f>
        <v>420</v>
      </c>
      <c r="N31" s="17">
        <f>IF(ISBLANK(Historical_data_entry_1!N35),"na",Historical_data_entry_1!N35)</f>
        <v>146</v>
      </c>
      <c r="O31" s="17" t="str">
        <f>IF(ISBLANK(Historical_data_entry_1!O35),"na",Historical_data_entry_1!O35)</f>
        <v>na</v>
      </c>
      <c r="P31" s="17" t="str">
        <f>IF(ISBLANK(Historical_data_entry_1!P35),"na",Historical_data_entry_1!P35)</f>
        <v>na</v>
      </c>
      <c r="Q31" s="17" t="str">
        <f>IF(ISBLANK(Historical_data_entry_1!Q35),"na",Historical_data_entry_1!Q35)</f>
        <v>na</v>
      </c>
      <c r="R31" s="17" t="str">
        <f>IF(ISBLANK(Historical_data_entry_1!R35),"na",Historical_data_entry_1!R35)</f>
        <v>na</v>
      </c>
      <c r="S31" s="17" t="str">
        <f>IF(ISBLANK(Historical_data_entry_1!S35),"na",Historical_data_entry_1!S35)</f>
        <v>na</v>
      </c>
      <c r="T31" s="17" t="str">
        <f>IF(ISBLANK(Historical_data_entry_1!T35),"na",Historical_data_entry_1!T35)</f>
        <v>na</v>
      </c>
      <c r="U31" s="17" t="str">
        <f>IF(ISBLANK(Historical_data_entry_1!U35),"na",Historical_data_entry_1!U35)</f>
        <v>na</v>
      </c>
      <c r="V31" s="17" t="str">
        <f>IF(ISBLANK(Historical_data_entry_1!V35),"na",Historical_data_entry_1!V35)</f>
        <v>na</v>
      </c>
      <c r="W31" s="187" t="str">
        <f>IF(ISBLANK(Historical_data_entry_1!W35),"na",Historical_data_entry_1!W35)</f>
        <v>na</v>
      </c>
    </row>
    <row r="32" spans="2:23" ht="15">
      <c r="B32" s="3" t="str">
        <f>Historical_data_entry_1!C36</f>
        <v>#19</v>
      </c>
      <c r="C32" s="1"/>
      <c r="D32" s="1"/>
      <c r="E32" s="1" t="e">
        <f t="shared" si="3"/>
        <v>#VALUE!</v>
      </c>
      <c r="F32" s="15" t="str">
        <f>IF(ISBLANK(Historical_data_entry_1!F36),"na",Historical_data_entry_1!F36)</f>
        <v>na</v>
      </c>
      <c r="G32" s="1" t="e">
        <f>IF(E32=1,IF(ISTEXT(F32),"na ",-($F$55-F32)),"Check again?")</f>
        <v>#VALUE!</v>
      </c>
      <c r="H32" s="17" t="str">
        <f>IF(ISBLANK(Historical_data_entry_1!H36),"na",Historical_data_entry_1!H36)</f>
        <v>na</v>
      </c>
      <c r="I32" s="17" t="str">
        <f>IF(ISBLANK(Historical_data_entry_1!I36),"na",Historical_data_entry_1!I36)</f>
        <v>na</v>
      </c>
      <c r="J32" s="17" t="str">
        <f>IF(ISBLANK(Historical_data_entry_1!J36),"na",Historical_data_entry_1!J36)</f>
        <v>na</v>
      </c>
      <c r="K32" s="17" t="str">
        <f>IF(ISBLANK(Historical_data_entry_1!K36),"na",Historical_data_entry_1!K36)</f>
        <v>na</v>
      </c>
      <c r="L32" s="17" t="str">
        <f>IF(ISBLANK(Historical_data_entry_1!L36),"na",Historical_data_entry_1!L36)</f>
        <v>na</v>
      </c>
      <c r="M32" s="17" t="str">
        <f>IF(ISBLANK(Historical_data_entry_1!M36),"na",Historical_data_entry_1!M36)</f>
        <v>na</v>
      </c>
      <c r="N32" s="17" t="str">
        <f>IF(ISBLANK(Historical_data_entry_1!N36),"na",Historical_data_entry_1!N36)</f>
        <v>na</v>
      </c>
      <c r="O32" s="17" t="str">
        <f>IF(ISBLANK(Historical_data_entry_1!O36),"na",Historical_data_entry_1!O36)</f>
        <v>na</v>
      </c>
      <c r="P32" s="17" t="str">
        <f>IF(ISBLANK(Historical_data_entry_1!P36),"na",Historical_data_entry_1!P36)</f>
        <v>na</v>
      </c>
      <c r="Q32" s="17" t="str">
        <f>IF(ISBLANK(Historical_data_entry_1!Q36),"na",Historical_data_entry_1!Q36)</f>
        <v>na</v>
      </c>
      <c r="R32" s="17" t="str">
        <f>IF(ISBLANK(Historical_data_entry_1!R36),"na",Historical_data_entry_1!R36)</f>
        <v>na</v>
      </c>
      <c r="S32" s="17" t="str">
        <f>IF(ISBLANK(Historical_data_entry_1!S36),"na",Historical_data_entry_1!S36)</f>
        <v>na</v>
      </c>
      <c r="T32" s="17" t="str">
        <f>IF(ISBLANK(Historical_data_entry_1!T36),"na",Historical_data_entry_1!T36)</f>
        <v>na</v>
      </c>
      <c r="U32" s="17" t="str">
        <f>IF(ISBLANK(Historical_data_entry_1!U36),"na",Historical_data_entry_1!U36)</f>
        <v>na</v>
      </c>
      <c r="V32" s="17" t="str">
        <f>IF(ISBLANK(Historical_data_entry_1!V36),"na",Historical_data_entry_1!V36)</f>
        <v>na</v>
      </c>
      <c r="W32" s="187" t="str">
        <f>IF(ISBLANK(Historical_data_entry_1!W36),"na",Historical_data_entry_1!W36)</f>
        <v>na</v>
      </c>
    </row>
    <row r="33" spans="2:23" ht="15.75" thickBot="1">
      <c r="B33" s="3" t="str">
        <f>Historical_data_entry_1!C37</f>
        <v>#20</v>
      </c>
      <c r="C33" s="11"/>
      <c r="D33" s="11"/>
      <c r="E33" s="1" t="e">
        <f t="shared" si="3"/>
        <v>#VALUE!</v>
      </c>
      <c r="F33" s="15" t="str">
        <f>IF(ISBLANK(Historical_data_entry_1!F37),"na",Historical_data_entry_1!F37)</f>
        <v>na</v>
      </c>
      <c r="G33" s="1" t="e">
        <f>IF(E33=1,IF(ISTEXT(F33),"na ",-($F$55-F33)),"Check again?")</f>
        <v>#VALUE!</v>
      </c>
      <c r="H33" s="17" t="str">
        <f>IF(ISBLANK(Historical_data_entry_1!H37),"na",Historical_data_entry_1!H37)</f>
        <v>na</v>
      </c>
      <c r="I33" s="17" t="str">
        <f>IF(ISBLANK(Historical_data_entry_1!I37),"na",Historical_data_entry_1!I37)</f>
        <v>na</v>
      </c>
      <c r="J33" s="17" t="str">
        <f>IF(ISBLANK(Historical_data_entry_1!J37),"na",Historical_data_entry_1!J37)</f>
        <v>na</v>
      </c>
      <c r="K33" s="17" t="str">
        <f>IF(ISBLANK(Historical_data_entry_1!K37),"na",Historical_data_entry_1!K37)</f>
        <v>na</v>
      </c>
      <c r="L33" s="17" t="str">
        <f>IF(ISBLANK(Historical_data_entry_1!L37),"na",Historical_data_entry_1!L37)</f>
        <v>na</v>
      </c>
      <c r="M33" s="17" t="str">
        <f>IF(ISBLANK(Historical_data_entry_1!M37),"na",Historical_data_entry_1!M37)</f>
        <v>na</v>
      </c>
      <c r="N33" s="17" t="str">
        <f>IF(ISBLANK(Historical_data_entry_1!N37),"na",Historical_data_entry_1!N37)</f>
        <v>na</v>
      </c>
      <c r="O33" s="17" t="str">
        <f>IF(ISBLANK(Historical_data_entry_1!O37),"na",Historical_data_entry_1!O37)</f>
        <v>na</v>
      </c>
      <c r="P33" s="17" t="str">
        <f>IF(ISBLANK(Historical_data_entry_1!P37),"na",Historical_data_entry_1!P37)</f>
        <v>na</v>
      </c>
      <c r="Q33" s="17" t="str">
        <f>IF(ISBLANK(Historical_data_entry_1!Q37),"na",Historical_data_entry_1!Q37)</f>
        <v>na</v>
      </c>
      <c r="R33" s="17" t="str">
        <f>IF(ISBLANK(Historical_data_entry_1!R37),"na",Historical_data_entry_1!R37)</f>
        <v>na</v>
      </c>
      <c r="S33" s="17" t="str">
        <f>IF(ISBLANK(Historical_data_entry_1!S37),"na",Historical_data_entry_1!S37)</f>
        <v>na</v>
      </c>
      <c r="T33" s="17" t="str">
        <f>IF(ISBLANK(Historical_data_entry_1!T37),"na",Historical_data_entry_1!T37)</f>
        <v>na</v>
      </c>
      <c r="U33" s="17" t="str">
        <f>IF(ISBLANK(Historical_data_entry_1!U37),"na",Historical_data_entry_1!U37)</f>
        <v>na</v>
      </c>
      <c r="V33" s="17" t="str">
        <f>IF(ISBLANK(Historical_data_entry_1!V37),"na",Historical_data_entry_1!V37)</f>
        <v>na</v>
      </c>
      <c r="W33" s="187" t="str">
        <f>IF(ISBLANK(Historical_data_entry_1!W37),"na",Historical_data_entry_1!W37)</f>
        <v>na</v>
      </c>
    </row>
    <row r="34" spans="6:23" ht="15">
      <c r="F34" s="9"/>
      <c r="H34" s="185"/>
      <c r="I34" s="185"/>
      <c r="J34" s="185"/>
      <c r="K34" s="185"/>
      <c r="L34" s="185"/>
      <c r="M34" s="185"/>
      <c r="N34" s="185"/>
      <c r="O34" s="185"/>
      <c r="P34" s="185"/>
      <c r="Q34" s="185"/>
      <c r="R34" s="185"/>
      <c r="S34" s="185"/>
      <c r="T34" s="185"/>
      <c r="U34" s="185"/>
      <c r="V34" s="185"/>
      <c r="W34" s="185"/>
    </row>
    <row r="35" spans="6:23" ht="15">
      <c r="F35" s="9"/>
      <c r="H35" s="7"/>
      <c r="I35" s="7"/>
      <c r="J35" s="7"/>
      <c r="K35" s="7"/>
      <c r="L35" s="7"/>
      <c r="M35" s="7"/>
      <c r="N35" s="7"/>
      <c r="O35" s="7"/>
      <c r="P35" s="7"/>
      <c r="Q35" s="7"/>
      <c r="R35" s="7"/>
      <c r="S35" s="7"/>
      <c r="T35" s="7"/>
      <c r="U35" s="7"/>
      <c r="V35" s="7"/>
      <c r="W35" s="7"/>
    </row>
    <row r="36" spans="6:23" ht="15.75" thickBot="1">
      <c r="F36" s="9"/>
      <c r="H36" s="8"/>
      <c r="I36" s="8"/>
      <c r="J36" s="8"/>
      <c r="K36" s="8"/>
      <c r="L36" s="8"/>
      <c r="M36" s="8"/>
      <c r="N36" s="8"/>
      <c r="O36" s="8"/>
      <c r="P36" s="8"/>
      <c r="Q36" s="8"/>
      <c r="R36" s="8"/>
      <c r="S36" s="8"/>
      <c r="T36" s="8"/>
      <c r="U36" s="8"/>
      <c r="V36" s="8"/>
      <c r="W36" s="8"/>
    </row>
    <row r="37" spans="2:23" ht="15">
      <c r="B37" s="2" t="s">
        <v>109</v>
      </c>
      <c r="C37" s="20"/>
      <c r="D37" s="20"/>
      <c r="E37" s="20"/>
      <c r="F37" s="23"/>
      <c r="G37" s="20"/>
      <c r="H37" s="40">
        <f>IF(ISERROR(AVERAGE(H14:H33)),"na",AVERAGE(H14:H33))</f>
        <v>4441.7692307692305</v>
      </c>
      <c r="I37" s="40">
        <f aca="true" t="shared" si="5" ref="I37:W37">IF(ISERROR(AVERAGE(I14:I33)),"N/A",AVERAGE(I14:I33))</f>
        <v>1534.0833333333333</v>
      </c>
      <c r="J37" s="40">
        <f t="shared" si="5"/>
        <v>166.27272727272728</v>
      </c>
      <c r="K37" s="40">
        <f t="shared" si="5"/>
        <v>198.14285714285714</v>
      </c>
      <c r="L37" s="40" t="str">
        <f t="shared" si="5"/>
        <v>N/A</v>
      </c>
      <c r="M37" s="40">
        <f t="shared" si="5"/>
        <v>886.1176470588235</v>
      </c>
      <c r="N37" s="40">
        <f t="shared" si="5"/>
        <v>488.38461538461536</v>
      </c>
      <c r="O37" s="40" t="str">
        <f t="shared" si="5"/>
        <v>N/A</v>
      </c>
      <c r="P37" s="40">
        <f t="shared" si="5"/>
        <v>450.25</v>
      </c>
      <c r="Q37" s="40">
        <f t="shared" si="5"/>
        <v>487.9166666666667</v>
      </c>
      <c r="R37" s="40">
        <f t="shared" si="5"/>
        <v>447.75</v>
      </c>
      <c r="S37" s="40">
        <f t="shared" si="5"/>
        <v>171.33333333333334</v>
      </c>
      <c r="T37" s="40" t="str">
        <f t="shared" si="5"/>
        <v>N/A</v>
      </c>
      <c r="U37" s="40" t="str">
        <f t="shared" si="5"/>
        <v>N/A</v>
      </c>
      <c r="V37" s="40" t="str">
        <f t="shared" si="5"/>
        <v>N/A</v>
      </c>
      <c r="W37" s="41" t="str">
        <f t="shared" si="5"/>
        <v>N/A</v>
      </c>
    </row>
    <row r="38" spans="2:23" ht="15">
      <c r="B38" s="3" t="s">
        <v>116</v>
      </c>
      <c r="C38" s="1"/>
      <c r="D38" s="1"/>
      <c r="E38" s="1"/>
      <c r="F38" s="15"/>
      <c r="G38" s="1"/>
      <c r="H38" s="7">
        <f aca="true" t="shared" si="6" ref="H38:W38">IF(ISERROR(MAX(H14:H33)),"NA",MAX(H14:H33))</f>
        <v>8990</v>
      </c>
      <c r="I38" s="7">
        <f t="shared" si="6"/>
        <v>5600</v>
      </c>
      <c r="J38" s="7">
        <f t="shared" si="6"/>
        <v>458</v>
      </c>
      <c r="K38" s="7">
        <f t="shared" si="6"/>
        <v>560</v>
      </c>
      <c r="L38" s="7">
        <f t="shared" si="6"/>
        <v>0</v>
      </c>
      <c r="M38" s="7">
        <f t="shared" si="6"/>
        <v>1900</v>
      </c>
      <c r="N38" s="7">
        <f t="shared" si="6"/>
        <v>2200</v>
      </c>
      <c r="O38" s="7">
        <f t="shared" si="6"/>
        <v>0</v>
      </c>
      <c r="P38" s="7">
        <f t="shared" si="6"/>
        <v>760</v>
      </c>
      <c r="Q38" s="7">
        <f>IF(ISERROR(MAX(Q14:Q33)),"NA",MAX(Q14:Q33))</f>
        <v>760</v>
      </c>
      <c r="R38" s="7">
        <f t="shared" si="6"/>
        <v>1000</v>
      </c>
      <c r="S38" s="7">
        <f t="shared" si="6"/>
        <v>1000</v>
      </c>
      <c r="T38" s="7">
        <f t="shared" si="6"/>
        <v>0</v>
      </c>
      <c r="U38" s="7">
        <f t="shared" si="6"/>
        <v>0</v>
      </c>
      <c r="V38" s="7">
        <f t="shared" si="6"/>
        <v>0</v>
      </c>
      <c r="W38" s="42">
        <f t="shared" si="6"/>
        <v>0</v>
      </c>
    </row>
    <row r="39" spans="2:23" ht="15.75" thickBot="1">
      <c r="B39" s="10" t="s">
        <v>3</v>
      </c>
      <c r="C39" s="11"/>
      <c r="D39" s="11"/>
      <c r="E39" s="11"/>
      <c r="F39" s="24"/>
      <c r="G39" s="11"/>
      <c r="H39" s="43">
        <f aca="true" t="shared" si="7" ref="H39:W39">IF(ISERROR(MIN(H14:H33)),"NA",MIN(H14:H33))</f>
        <v>1200</v>
      </c>
      <c r="I39" s="43">
        <f t="shared" si="7"/>
        <v>5</v>
      </c>
      <c r="J39" s="43">
        <f t="shared" si="7"/>
        <v>2</v>
      </c>
      <c r="K39" s="43">
        <f t="shared" si="7"/>
        <v>20</v>
      </c>
      <c r="L39" s="43">
        <f t="shared" si="7"/>
        <v>0</v>
      </c>
      <c r="M39" s="43">
        <f t="shared" si="7"/>
        <v>379</v>
      </c>
      <c r="N39" s="43">
        <f t="shared" si="7"/>
        <v>123</v>
      </c>
      <c r="O39" s="43">
        <f t="shared" si="7"/>
        <v>0</v>
      </c>
      <c r="P39" s="43">
        <f t="shared" si="7"/>
        <v>56</v>
      </c>
      <c r="Q39" s="43">
        <f t="shared" si="7"/>
        <v>345</v>
      </c>
      <c r="R39" s="43">
        <f t="shared" si="7"/>
        <v>1</v>
      </c>
      <c r="S39" s="43">
        <f t="shared" si="7"/>
        <v>1</v>
      </c>
      <c r="T39" s="43">
        <f t="shared" si="7"/>
        <v>0</v>
      </c>
      <c r="U39" s="43">
        <f t="shared" si="7"/>
        <v>0</v>
      </c>
      <c r="V39" s="43">
        <f t="shared" si="7"/>
        <v>0</v>
      </c>
      <c r="W39" s="44">
        <f t="shared" si="7"/>
        <v>0</v>
      </c>
    </row>
    <row r="40" spans="2:23" ht="15.75" thickBot="1">
      <c r="B40" s="5" t="s">
        <v>375</v>
      </c>
      <c r="F40" s="9"/>
      <c r="H40" s="43">
        <f>IF(ISERROR(STDEV(H14:H33)),"NA",STDEV(H14:H33))</f>
        <v>2347.355929332908</v>
      </c>
      <c r="I40" s="43">
        <f aca="true" t="shared" si="8" ref="I40:W40">IF(ISERROR(STDEV(I14:I33)),"NA",STDEV(I14:I33))</f>
        <v>2078.1631075339474</v>
      </c>
      <c r="J40" s="43">
        <f t="shared" si="8"/>
        <v>184.19722631412824</v>
      </c>
      <c r="K40" s="43">
        <f t="shared" si="8"/>
        <v>198.29055160834784</v>
      </c>
      <c r="L40" s="43" t="str">
        <f t="shared" si="8"/>
        <v>NA</v>
      </c>
      <c r="M40" s="43">
        <f t="shared" si="8"/>
        <v>493.2793177238608</v>
      </c>
      <c r="N40" s="43">
        <f t="shared" si="8"/>
        <v>562.4377800346065</v>
      </c>
      <c r="O40" s="43" t="str">
        <f t="shared" si="8"/>
        <v>NA</v>
      </c>
      <c r="P40" s="43">
        <f t="shared" si="8"/>
        <v>233.57210572204158</v>
      </c>
      <c r="Q40" s="43">
        <f t="shared" si="8"/>
        <v>119.22893054451116</v>
      </c>
      <c r="R40" s="43">
        <f t="shared" si="8"/>
        <v>523.0050190963753</v>
      </c>
      <c r="S40" s="43">
        <f t="shared" si="8"/>
        <v>406.0042692714778</v>
      </c>
      <c r="T40" s="43" t="str">
        <f t="shared" si="8"/>
        <v>NA</v>
      </c>
      <c r="U40" s="43" t="str">
        <f t="shared" si="8"/>
        <v>NA</v>
      </c>
      <c r="V40" s="43" t="str">
        <f t="shared" si="8"/>
        <v>NA</v>
      </c>
      <c r="W40" s="43" t="str">
        <f t="shared" si="8"/>
        <v>NA</v>
      </c>
    </row>
    <row r="41" spans="1:23" s="38" customFormat="1" ht="20.25">
      <c r="A41" s="39"/>
      <c r="B41" s="38" t="s">
        <v>376</v>
      </c>
      <c r="F41" s="37"/>
      <c r="H41" s="28">
        <f>IF(ISTEXT(H37),"N/A",H40/H37)</f>
        <v>0.5284731843050726</v>
      </c>
      <c r="I41" s="28">
        <f aca="true" t="shared" si="9" ref="I41:W41">IF(ISTEXT(I37),"N/A",I40/I37)</f>
        <v>1.3546611597809424</v>
      </c>
      <c r="J41" s="28">
        <f t="shared" si="9"/>
        <v>1.1078017984994044</v>
      </c>
      <c r="K41" s="28">
        <f t="shared" si="9"/>
        <v>1.000745393841698</v>
      </c>
      <c r="L41" s="28" t="str">
        <f t="shared" si="9"/>
        <v>N/A</v>
      </c>
      <c r="M41" s="28">
        <f t="shared" si="9"/>
        <v>0.5566747478296358</v>
      </c>
      <c r="N41" s="28">
        <f t="shared" si="9"/>
        <v>1.1516287825562899</v>
      </c>
      <c r="O41" s="28" t="str">
        <f t="shared" si="9"/>
        <v>N/A</v>
      </c>
      <c r="P41" s="28">
        <f t="shared" si="9"/>
        <v>0.518760923313807</v>
      </c>
      <c r="Q41" s="28">
        <f t="shared" si="9"/>
        <v>0.24436330769156855</v>
      </c>
      <c r="R41" s="28">
        <f t="shared" si="9"/>
        <v>1.1680737444921838</v>
      </c>
      <c r="S41" s="28">
        <f t="shared" si="9"/>
        <v>2.3696747233743842</v>
      </c>
      <c r="T41" s="28" t="str">
        <f t="shared" si="9"/>
        <v>N/A</v>
      </c>
      <c r="U41" s="28" t="str">
        <f t="shared" si="9"/>
        <v>N/A</v>
      </c>
      <c r="V41" s="28" t="str">
        <f t="shared" si="9"/>
        <v>N/A</v>
      </c>
      <c r="W41" s="28" t="str">
        <f t="shared" si="9"/>
        <v>N/A</v>
      </c>
    </row>
    <row r="42" ht="17.25">
      <c r="A42" s="22" t="s">
        <v>217</v>
      </c>
    </row>
    <row r="44" ht="15">
      <c r="B44" s="5" t="s">
        <v>153</v>
      </c>
    </row>
    <row r="45" ht="15">
      <c r="H45" s="6"/>
    </row>
    <row r="46" spans="2:23" s="1" customFormat="1" ht="15">
      <c r="B46" s="1" t="s">
        <v>10</v>
      </c>
      <c r="H46" s="1" t="str">
        <f>H6</f>
        <v>MW-1</v>
      </c>
      <c r="I46" s="1" t="str">
        <f aca="true" t="shared" si="10" ref="I46:W46">I6</f>
        <v>MW-2</v>
      </c>
      <c r="J46" s="1" t="str">
        <f t="shared" si="10"/>
        <v>MW-3</v>
      </c>
      <c r="K46" s="1" t="str">
        <f t="shared" si="10"/>
        <v>MW-4</v>
      </c>
      <c r="L46" s="1">
        <f t="shared" si="10"/>
        <v>0</v>
      </c>
      <c r="M46" s="1" t="str">
        <f t="shared" si="10"/>
        <v>MW-5</v>
      </c>
      <c r="N46" s="1" t="str">
        <f t="shared" si="10"/>
        <v>MW-11</v>
      </c>
      <c r="O46" s="1">
        <f t="shared" si="10"/>
        <v>0</v>
      </c>
      <c r="P46" s="1" t="str">
        <f t="shared" si="10"/>
        <v>MW9</v>
      </c>
      <c r="Q46" s="1" t="str">
        <f t="shared" si="10"/>
        <v>MW10</v>
      </c>
      <c r="R46" s="1" t="str">
        <f t="shared" si="10"/>
        <v>MW-20</v>
      </c>
      <c r="S46" s="1" t="str">
        <f t="shared" si="10"/>
        <v>MW12</v>
      </c>
      <c r="T46" s="1">
        <f t="shared" si="10"/>
        <v>0</v>
      </c>
      <c r="U46" s="1">
        <f t="shared" si="10"/>
        <v>0</v>
      </c>
      <c r="V46" s="1">
        <f t="shared" si="10"/>
        <v>0</v>
      </c>
      <c r="W46" s="1">
        <f t="shared" si="10"/>
        <v>0</v>
      </c>
    </row>
    <row r="47" spans="2:16" s="1" customFormat="1" ht="15">
      <c r="B47" s="1" t="s">
        <v>14</v>
      </c>
      <c r="H47" s="1">
        <v>0</v>
      </c>
      <c r="I47" s="1">
        <v>90</v>
      </c>
      <c r="J47" s="1">
        <v>135</v>
      </c>
      <c r="K47" s="1">
        <v>200</v>
      </c>
      <c r="L47" s="1">
        <v>280</v>
      </c>
      <c r="M47" s="1">
        <v>350</v>
      </c>
      <c r="N47" s="1">
        <v>380</v>
      </c>
      <c r="O47" s="1">
        <v>400</v>
      </c>
      <c r="P47" s="1">
        <v>430</v>
      </c>
    </row>
    <row r="48" s="1" customFormat="1" ht="15"/>
    <row r="49" spans="2:11" s="1" customFormat="1" ht="15">
      <c r="B49" s="1" t="s">
        <v>13</v>
      </c>
      <c r="C49" s="1" t="s">
        <v>11</v>
      </c>
      <c r="H49" s="1">
        <v>0</v>
      </c>
      <c r="I49" s="1">
        <v>8</v>
      </c>
      <c r="J49" s="1">
        <v>9</v>
      </c>
      <c r="K49" s="1">
        <v>12</v>
      </c>
    </row>
    <row r="50" spans="2:11" s="1" customFormat="1" ht="15">
      <c r="B50" s="1" t="s">
        <v>12</v>
      </c>
      <c r="C50" s="1" t="s">
        <v>1</v>
      </c>
      <c r="H50" s="1">
        <v>0</v>
      </c>
      <c r="I50" s="1">
        <f>I47*(COS(RADIANS(I49))+9.18*(SIN(RADIANS(I49))^2)/COS(RADIANS(I49)))</f>
        <v>105.28418820733822</v>
      </c>
      <c r="J50" s="1">
        <f>J47*(COS(RADIANS(J49))+9.18*(SIN(RADIANS(J49))^2)/COS(RADIANS(J49)))</f>
        <v>164.04379586986144</v>
      </c>
      <c r="K50" s="1">
        <f>K47*(COS(RADIANS(K49))+9.18*(SIN(RADIANS(K49))^2)/COS(RADIANS(K49)))</f>
        <v>276.76785737168774</v>
      </c>
    </row>
    <row r="51" s="1" customFormat="1" ht="15"/>
    <row r="52" s="1" customFormat="1" ht="15"/>
    <row r="53" s="1" customFormat="1" ht="15"/>
    <row r="54" spans="2:19" ht="15.75" thickBot="1">
      <c r="B54" s="5" t="s">
        <v>16</v>
      </c>
      <c r="F54" s="5" t="s">
        <v>15</v>
      </c>
      <c r="G54" s="5" t="s">
        <v>6</v>
      </c>
      <c r="H54" s="180"/>
      <c r="I54" s="180"/>
      <c r="J54" s="180"/>
      <c r="K54" s="180"/>
      <c r="L54" s="180"/>
      <c r="M54" s="180"/>
      <c r="N54" s="180"/>
      <c r="O54" s="180"/>
      <c r="P54" s="180"/>
      <c r="Q54" s="180"/>
      <c r="R54" s="180"/>
      <c r="S54" s="180"/>
    </row>
    <row r="55" spans="2:23" ht="15">
      <c r="B55" s="30" t="str">
        <f>Historical_data_entry_1!C18</f>
        <v>#1</v>
      </c>
      <c r="F55" s="9">
        <f>IF(ISBLANK(Historical_data_entry_1!F18),"NA",Historical_data_entry_1!F18)</f>
        <v>34040</v>
      </c>
      <c r="G55" s="5">
        <v>0</v>
      </c>
      <c r="H55" s="77">
        <f>IF(ISBLANK(Historical_data_entry_1!H18),"na",LN(Historical_data_entry_1!H18))</f>
        <v>9.054855469135788</v>
      </c>
      <c r="I55" s="31">
        <f>IF(ISBLANK(Historical_data_entry_1!I18),"na",LN(Historical_data_entry_1!I18))</f>
        <v>8.357024439263416</v>
      </c>
      <c r="J55" s="31">
        <f>IF(ISBLANK(Historical_data_entry_1!J18),"na",LN(Historical_data_entry_1!J18))</f>
        <v>6.126869184114185</v>
      </c>
      <c r="K55" s="31">
        <f>IF(ISBLANK(Historical_data_entry_1!K18),"na",LN(Historical_data_entry_1!K18))</f>
        <v>2.995732273553991</v>
      </c>
      <c r="L55" s="31" t="str">
        <f>IF(ISBLANK(Historical_data_entry_1!L18),"na",LN(Historical_data_entry_1!L18))</f>
        <v>na</v>
      </c>
      <c r="M55" s="31">
        <f>IF(ISBLANK(Historical_data_entry_1!M18),"na",LN(Historical_data_entry_1!M18))</f>
        <v>7.313220387090301</v>
      </c>
      <c r="N55" s="31" t="str">
        <f>IF(ISBLANK(Historical_data_entry_1!N18),"na",LN(Historical_data_entry_1!N18))</f>
        <v>na</v>
      </c>
      <c r="O55" s="31" t="str">
        <f>IF(ISBLANK(Historical_data_entry_1!O18),"na",LN(Historical_data_entry_1!O18))</f>
        <v>na</v>
      </c>
      <c r="P55" s="31">
        <f>IF(ISBLANK(Historical_data_entry_1!P18),"na",LN(Historical_data_entry_1!P18))</f>
        <v>5.298317366548036</v>
      </c>
      <c r="Q55" s="31">
        <f>IF(ISBLANK(Historical_data_entry_1!Q18),"na",LN(Historical_data_entry_1!Q18))</f>
        <v>6.1092475827643655</v>
      </c>
      <c r="R55" s="31">
        <f>IF(ISBLANK(Historical_data_entry_1!R18),"na",LN(Historical_data_entry_1!R18))</f>
        <v>6.907755278982137</v>
      </c>
      <c r="S55" s="31">
        <f>IF(ISBLANK(Historical_data_entry_1!S18),"na",LN(Historical_data_entry_1!S18))</f>
        <v>6.907755278982137</v>
      </c>
      <c r="T55" s="31" t="str">
        <f>IF(ISBLANK(Historical_data_entry_1!T18),"na",LN(Historical_data_entry_1!T18))</f>
        <v>na</v>
      </c>
      <c r="U55" s="31" t="str">
        <f>IF(ISBLANK(Historical_data_entry_1!U18),"na",LN(Historical_data_entry_1!U18))</f>
        <v>na</v>
      </c>
      <c r="V55" s="31" t="str">
        <f>IF(ISBLANK(Historical_data_entry_1!V18),"na",LN(Historical_data_entry_1!V18))</f>
        <v>na</v>
      </c>
      <c r="W55" s="32" t="str">
        <f>IF(ISBLANK(Historical_data_entry_1!W18),"na",LN(Historical_data_entry_1!W18))</f>
        <v>na</v>
      </c>
    </row>
    <row r="56" spans="2:23" ht="15">
      <c r="B56" s="30" t="str">
        <f>Historical_data_entry_1!C19</f>
        <v>#2</v>
      </c>
      <c r="F56" s="9">
        <f>IF(ISBLANK(Historical_data_entry_1!F19),"NA",Historical_data_entry_1!F19)</f>
        <v>34100</v>
      </c>
      <c r="G56" s="5">
        <f>IF(ISTEXT(F56),"NA",-($F$55-F56))</f>
        <v>60</v>
      </c>
      <c r="H56" s="78">
        <f>IF(ISBLANK(Historical_data_entry_1!H19),"na",LN(Historical_data_entry_1!H19))</f>
        <v>8.426611813185</v>
      </c>
      <c r="I56" s="29">
        <f>IF(ISBLANK(Historical_data_entry_1!I19),"na",LN(Historical_data_entry_1!I19))</f>
        <v>8.630521876723241</v>
      </c>
      <c r="J56" s="29">
        <f>IF(ISBLANK(Historical_data_entry_1!J19),"na",LN(Historical_data_entry_1!J19))</f>
        <v>5.666426688112432</v>
      </c>
      <c r="K56" s="29">
        <f>IF(ISBLANK(Historical_data_entry_1!K19),"na",LN(Historical_data_entry_1!K19))</f>
        <v>3.5553480614894135</v>
      </c>
      <c r="L56" s="29" t="str">
        <f>IF(ISBLANK(Historical_data_entry_1!L19),"na",LN(Historical_data_entry_1!L19))</f>
        <v>na</v>
      </c>
      <c r="M56" s="29" t="str">
        <f>IF(ISBLANK(Historical_data_entry_1!M19),"na",LN(Historical_data_entry_1!M19))</f>
        <v>na</v>
      </c>
      <c r="N56" s="29" t="str">
        <f>IF(ISBLANK(Historical_data_entry_1!N19),"na",LN(Historical_data_entry_1!N19))</f>
        <v>na</v>
      </c>
      <c r="O56" s="29" t="str">
        <f>IF(ISBLANK(Historical_data_entry_1!O19),"na",LN(Historical_data_entry_1!O19))</f>
        <v>na</v>
      </c>
      <c r="P56" s="29">
        <f>IF(ISBLANK(Historical_data_entry_1!P19),"na",LN(Historical_data_entry_1!P19))</f>
        <v>6.194405391104672</v>
      </c>
      <c r="Q56" s="29">
        <f>IF(ISBLANK(Historical_data_entry_1!Q19),"na",LN(Historical_data_entry_1!Q19))</f>
        <v>6.194405391104672</v>
      </c>
      <c r="R56" s="29" t="str">
        <f>IF(ISBLANK(Historical_data_entry_1!R19),"na",LN(Historical_data_entry_1!R19))</f>
        <v>na</v>
      </c>
      <c r="S56" s="29" t="str">
        <f>IF(ISBLANK(Historical_data_entry_1!S19),"na",LN(Historical_data_entry_1!S19))</f>
        <v>na</v>
      </c>
      <c r="T56" s="29" t="str">
        <f>IF(ISBLANK(Historical_data_entry_1!T19),"na",LN(Historical_data_entry_1!T19))</f>
        <v>na</v>
      </c>
      <c r="U56" s="29" t="str">
        <f>IF(ISBLANK(Historical_data_entry_1!U19),"na",LN(Historical_data_entry_1!U19))</f>
        <v>na</v>
      </c>
      <c r="V56" s="29" t="str">
        <f>IF(ISBLANK(Historical_data_entry_1!V19),"na",LN(Historical_data_entry_1!V19))</f>
        <v>na</v>
      </c>
      <c r="W56" s="33" t="str">
        <f>IF(ISBLANK(Historical_data_entry_1!W19),"na",LN(Historical_data_entry_1!W19))</f>
        <v>na</v>
      </c>
    </row>
    <row r="57" spans="2:23" ht="15">
      <c r="B57" s="30" t="str">
        <f>Historical_data_entry_1!C20</f>
        <v>#3</v>
      </c>
      <c r="F57" s="9">
        <f>IF(ISBLANK(Historical_data_entry_1!F20),"NA",Historical_data_entry_1!F20)</f>
        <v>34229</v>
      </c>
      <c r="G57" s="5">
        <f aca="true" t="shared" si="11" ref="G57:G74">IF(ISTEXT(F57),"NA",-($F$55-F57))</f>
        <v>189</v>
      </c>
      <c r="H57" s="78">
        <f>IF(ISBLANK(Historical_data_entry_1!H20),"na",LN(Historical_data_entry_1!H20))</f>
        <v>9.103868127465667</v>
      </c>
      <c r="I57" s="29">
        <f>IF(ISBLANK(Historical_data_entry_1!I20),"na",LN(Historical_data_entry_1!I20))</f>
        <v>8.411832675758411</v>
      </c>
      <c r="J57" s="29">
        <f>IF(ISBLANK(Historical_data_entry_1!J20),"na",LN(Historical_data_entry_1!J20))</f>
        <v>5.768320995793772</v>
      </c>
      <c r="K57" s="29">
        <f>IF(ISBLANK(Historical_data_entry_1!K20),"na",LN(Historical_data_entry_1!K20))</f>
        <v>4.204692619390966</v>
      </c>
      <c r="L57" s="29" t="str">
        <f>IF(ISBLANK(Historical_data_entry_1!L20),"na",LN(Historical_data_entry_1!L20))</f>
        <v>na</v>
      </c>
      <c r="M57" s="29">
        <f>IF(ISBLANK(Historical_data_entry_1!M20),"na",LN(Historical_data_entry_1!M20))</f>
        <v>7.549609165154532</v>
      </c>
      <c r="N57" s="29" t="str">
        <f>IF(ISBLANK(Historical_data_entry_1!N20),"na",LN(Historical_data_entry_1!N20))</f>
        <v>na</v>
      </c>
      <c r="O57" s="29" t="str">
        <f>IF(ISBLANK(Historical_data_entry_1!O20),"na",LN(Historical_data_entry_1!O20))</f>
        <v>na</v>
      </c>
      <c r="P57" s="29" t="str">
        <f>IF(ISBLANK(Historical_data_entry_1!P20),"na",LN(Historical_data_entry_1!P20))</f>
        <v>na</v>
      </c>
      <c r="Q57" s="29">
        <f>IF(ISBLANK(Historical_data_entry_1!Q20),"na",LN(Historical_data_entry_1!Q20))</f>
        <v>5.934894195619588</v>
      </c>
      <c r="R57" s="29">
        <f>IF(ISBLANK(Historical_data_entry_1!R20),"na",LN(Historical_data_entry_1!R20))</f>
        <v>6.670766320845874</v>
      </c>
      <c r="S57" s="29" t="str">
        <f>IF(ISBLANK(Historical_data_entry_1!S20),"na",LN(Historical_data_entry_1!S20))</f>
        <v>na</v>
      </c>
      <c r="T57" s="29" t="str">
        <f>IF(ISBLANK(Historical_data_entry_1!T20),"na",LN(Historical_data_entry_1!T20))</f>
        <v>na</v>
      </c>
      <c r="U57" s="29" t="str">
        <f>IF(ISBLANK(Historical_data_entry_1!U20),"na",LN(Historical_data_entry_1!U20))</f>
        <v>na</v>
      </c>
      <c r="V57" s="29" t="str">
        <f>IF(ISBLANK(Historical_data_entry_1!V20),"na",LN(Historical_data_entry_1!V20))</f>
        <v>na</v>
      </c>
      <c r="W57" s="33" t="str">
        <f>IF(ISBLANK(Historical_data_entry_1!W20),"na",LN(Historical_data_entry_1!W20))</f>
        <v>na</v>
      </c>
    </row>
    <row r="58" spans="2:23" ht="15">
      <c r="B58" s="30" t="str">
        <f>Historical_data_entry_1!C21</f>
        <v>#4</v>
      </c>
      <c r="F58" s="9">
        <f>IF(ISBLANK(Historical_data_entry_1!F21),"NA",Historical_data_entry_1!F21)</f>
        <v>34600</v>
      </c>
      <c r="G58" s="5">
        <f t="shared" si="11"/>
        <v>560</v>
      </c>
      <c r="H58" s="78">
        <f>IF(ISBLANK(Historical_data_entry_1!H21),"na",LN(Historical_data_entry_1!H21))</f>
        <v>8.823058934301647</v>
      </c>
      <c r="I58" s="29">
        <f>IF(ISBLANK(Historical_data_entry_1!I21),"na",LN(Historical_data_entry_1!I21))</f>
        <v>7.696212639346407</v>
      </c>
      <c r="J58" s="29">
        <f>IF(ISBLANK(Historical_data_entry_1!J21),"na",LN(Historical_data_entry_1!J21))</f>
        <v>6.063785208687608</v>
      </c>
      <c r="K58" s="29">
        <f>IF(ISBLANK(Historical_data_entry_1!K21),"na",LN(Historical_data_entry_1!K21))</f>
        <v>4.787491742782046</v>
      </c>
      <c r="L58" s="29" t="str">
        <f>IF(ISBLANK(Historical_data_entry_1!L21),"na",LN(Historical_data_entry_1!L21))</f>
        <v>na</v>
      </c>
      <c r="M58" s="29">
        <f>IF(ISBLANK(Historical_data_entry_1!M21),"na",LN(Historical_data_entry_1!M21))</f>
        <v>7.495541943884256</v>
      </c>
      <c r="N58" s="29">
        <f>IF(ISBLANK(Historical_data_entry_1!N21),"na",LN(Historical_data_entry_1!N21))</f>
        <v>7.696212639346407</v>
      </c>
      <c r="O58" s="29" t="str">
        <f>IF(ISBLANK(Historical_data_entry_1!O21),"na",LN(Historical_data_entry_1!O21))</f>
        <v>na</v>
      </c>
      <c r="P58" s="29">
        <f>IF(ISBLANK(Historical_data_entry_1!P21),"na",LN(Historical_data_entry_1!P21))</f>
        <v>6.253828811575473</v>
      </c>
      <c r="Q58" s="29">
        <f>IF(ISBLANK(Historical_data_entry_1!Q21),"na",LN(Historical_data_entry_1!Q21))</f>
        <v>6.253828811575473</v>
      </c>
      <c r="R58" s="29" t="str">
        <f>IF(ISBLANK(Historical_data_entry_1!R21),"na",LN(Historical_data_entry_1!R21))</f>
        <v>na</v>
      </c>
      <c r="S58" s="29">
        <f>IF(ISBLANK(Historical_data_entry_1!S21),"na",LN(Historical_data_entry_1!S21))</f>
        <v>2.70805020110221</v>
      </c>
      <c r="T58" s="29" t="str">
        <f>IF(ISBLANK(Historical_data_entry_1!T21),"na",LN(Historical_data_entry_1!T21))</f>
        <v>na</v>
      </c>
      <c r="U58" s="29" t="str">
        <f>IF(ISBLANK(Historical_data_entry_1!U21),"na",LN(Historical_data_entry_1!U21))</f>
        <v>na</v>
      </c>
      <c r="V58" s="29" t="str">
        <f>IF(ISBLANK(Historical_data_entry_1!V21),"na",LN(Historical_data_entry_1!V21))</f>
        <v>na</v>
      </c>
      <c r="W58" s="33" t="str">
        <f>IF(ISBLANK(Historical_data_entry_1!W21),"na",LN(Historical_data_entry_1!W21))</f>
        <v>na</v>
      </c>
    </row>
    <row r="59" spans="2:23" ht="15">
      <c r="B59" s="30" t="str">
        <f>Historical_data_entry_1!C22</f>
        <v>#5</v>
      </c>
      <c r="F59" s="9">
        <f>IF(ISBLANK(Historical_data_entry_1!F22),"NA",Historical_data_entry_1!F22)</f>
        <v>35202</v>
      </c>
      <c r="G59" s="5">
        <f t="shared" si="11"/>
        <v>1162</v>
      </c>
      <c r="H59" s="78">
        <f>IF(ISBLANK(Historical_data_entry_1!H22),"na",LN(Historical_data_entry_1!H22))</f>
        <v>8.471568013389962</v>
      </c>
      <c r="I59" s="29" t="str">
        <f>IF(ISBLANK(Historical_data_entry_1!I22),"na",LN(Historical_data_entry_1!I22))</f>
        <v>na</v>
      </c>
      <c r="J59" s="29">
        <f>IF(ISBLANK(Historical_data_entry_1!J22),"na",LN(Historical_data_entry_1!J22))</f>
        <v>5.5053315359323625</v>
      </c>
      <c r="K59" s="29">
        <f>IF(ISBLANK(Historical_data_entry_1!K22),"na",LN(Historical_data_entry_1!K22))</f>
        <v>5.480638923341991</v>
      </c>
      <c r="L59" s="29" t="str">
        <f>IF(ISBLANK(Historical_data_entry_1!L22),"na",LN(Historical_data_entry_1!L22))</f>
        <v>na</v>
      </c>
      <c r="M59" s="29">
        <f>IF(ISBLANK(Historical_data_entry_1!M22),"na",LN(Historical_data_entry_1!M22))</f>
        <v>7.170119543449628</v>
      </c>
      <c r="N59" s="29">
        <f>IF(ISBLANK(Historical_data_entry_1!N22),"na",LN(Historical_data_entry_1!N22))</f>
        <v>6.779921907472252</v>
      </c>
      <c r="O59" s="29" t="str">
        <f>IF(ISBLANK(Historical_data_entry_1!O22),"na",LN(Historical_data_entry_1!O22))</f>
        <v>na</v>
      </c>
      <c r="P59" s="29" t="str">
        <f>IF(ISBLANK(Historical_data_entry_1!P22),"na",LN(Historical_data_entry_1!P22))</f>
        <v>na</v>
      </c>
      <c r="Q59" s="29">
        <f>IF(ISBLANK(Historical_data_entry_1!Q22),"na",LN(Historical_data_entry_1!Q22))</f>
        <v>6.272877006546167</v>
      </c>
      <c r="R59" s="29">
        <f>IF(ISBLANK(Historical_data_entry_1!R22),"na",LN(Historical_data_entry_1!R22))</f>
        <v>0</v>
      </c>
      <c r="S59" s="29">
        <f>IF(ISBLANK(Historical_data_entry_1!S22),"na",LN(Historical_data_entry_1!S22))</f>
        <v>2.302585092994046</v>
      </c>
      <c r="T59" s="29" t="str">
        <f>IF(ISBLANK(Historical_data_entry_1!T22),"na",LN(Historical_data_entry_1!T22))</f>
        <v>na</v>
      </c>
      <c r="U59" s="29" t="str">
        <f>IF(ISBLANK(Historical_data_entry_1!U22),"na",LN(Historical_data_entry_1!U22))</f>
        <v>na</v>
      </c>
      <c r="V59" s="29" t="str">
        <f>IF(ISBLANK(Historical_data_entry_1!V22),"na",LN(Historical_data_entry_1!V22))</f>
        <v>na</v>
      </c>
      <c r="W59" s="33" t="str">
        <f>IF(ISBLANK(Historical_data_entry_1!W22),"na",LN(Historical_data_entry_1!W22))</f>
        <v>na</v>
      </c>
    </row>
    <row r="60" spans="2:23" ht="15">
      <c r="B60" s="30" t="str">
        <f>Historical_data_entry_1!C23</f>
        <v>#6</v>
      </c>
      <c r="F60" s="9">
        <f>IF(ISBLANK(Historical_data_entry_1!F23),"NA",Historical_data_entry_1!F23)</f>
        <v>35287</v>
      </c>
      <c r="G60" s="5">
        <f t="shared" si="11"/>
        <v>1247</v>
      </c>
      <c r="H60" s="78">
        <f>IF(ISBLANK(Historical_data_entry_1!H23),"na",LN(Historical_data_entry_1!H23))</f>
        <v>8.391629968440892</v>
      </c>
      <c r="I60" s="29">
        <f>IF(ISBLANK(Historical_data_entry_1!I23),"na",LN(Historical_data_entry_1!I23))</f>
        <v>6.7912214627261855</v>
      </c>
      <c r="J60" s="29" t="str">
        <f>IF(ISBLANK(Historical_data_entry_1!J23),"na",LN(Historical_data_entry_1!J23))</f>
        <v>na</v>
      </c>
      <c r="K60" s="29">
        <f>IF(ISBLANK(Historical_data_entry_1!K23),"na",LN(Historical_data_entry_1!K23))</f>
        <v>5.84354441703136</v>
      </c>
      <c r="L60" s="29" t="str">
        <f>IF(ISBLANK(Historical_data_entry_1!L23),"na",LN(Historical_data_entry_1!L23))</f>
        <v>na</v>
      </c>
      <c r="M60" s="29">
        <f>IF(ISBLANK(Historical_data_entry_1!M23),"na",LN(Historical_data_entry_1!M23))</f>
        <v>6.887552571664617</v>
      </c>
      <c r="N60" s="29" t="str">
        <f>IF(ISBLANK(Historical_data_entry_1!N23),"na",LN(Historical_data_entry_1!N23))</f>
        <v>na</v>
      </c>
      <c r="O60" s="29" t="str">
        <f>IF(ISBLANK(Historical_data_entry_1!O23),"na",LN(Historical_data_entry_1!O23))</f>
        <v>na</v>
      </c>
      <c r="P60" s="29">
        <f>IF(ISBLANK(Historical_data_entry_1!P23),"na",LN(Historical_data_entry_1!P23))</f>
        <v>6.476972362889683</v>
      </c>
      <c r="Q60" s="29">
        <f>IF(ISBLANK(Historical_data_entry_1!Q23),"na",LN(Historical_data_entry_1!Q23))</f>
        <v>6.476972362889683</v>
      </c>
      <c r="R60" s="29">
        <f>IF(ISBLANK(Historical_data_entry_1!R23),"na",LN(Historical_data_entry_1!R23))</f>
        <v>0</v>
      </c>
      <c r="S60" s="29">
        <f>IF(ISBLANK(Historical_data_entry_1!S23),"na",LN(Historical_data_entry_1!S23))</f>
        <v>0</v>
      </c>
      <c r="T60" s="29" t="str">
        <f>IF(ISBLANK(Historical_data_entry_1!T23),"na",LN(Historical_data_entry_1!T23))</f>
        <v>na</v>
      </c>
      <c r="U60" s="29" t="str">
        <f>IF(ISBLANK(Historical_data_entry_1!U23),"na",LN(Historical_data_entry_1!U23))</f>
        <v>na</v>
      </c>
      <c r="V60" s="29" t="str">
        <f>IF(ISBLANK(Historical_data_entry_1!V23),"na",LN(Historical_data_entry_1!V23))</f>
        <v>na</v>
      </c>
      <c r="W60" s="33" t="str">
        <f>IF(ISBLANK(Historical_data_entry_1!W23),"na",LN(Historical_data_entry_1!W23))</f>
        <v>na</v>
      </c>
    </row>
    <row r="61" spans="2:23" ht="15">
      <c r="B61" s="30" t="str">
        <f>Historical_data_entry_1!C24</f>
        <v>#7</v>
      </c>
      <c r="F61" s="9">
        <f>IF(ISBLANK(Historical_data_entry_1!F24),"NA",Historical_data_entry_1!F24)</f>
        <v>35376</v>
      </c>
      <c r="G61" s="5">
        <f t="shared" si="11"/>
        <v>1336</v>
      </c>
      <c r="H61" s="78">
        <f>IF(ISBLANK(Historical_data_entry_1!H24),"na",LN(Historical_data_entry_1!H24))</f>
        <v>8.006367567650246</v>
      </c>
      <c r="I61" s="29">
        <f>IF(ISBLANK(Historical_data_entry_1!I24),"na",LN(Historical_data_entry_1!I24))</f>
        <v>5.934894195619588</v>
      </c>
      <c r="J61" s="29">
        <f>IF(ISBLANK(Historical_data_entry_1!J24),"na",LN(Historical_data_entry_1!J24))</f>
        <v>3.6888794541139363</v>
      </c>
      <c r="K61" s="29" t="str">
        <f>IF(ISBLANK(Historical_data_entry_1!K24),"na",LN(Historical_data_entry_1!K24))</f>
        <v>na</v>
      </c>
      <c r="L61" s="29" t="str">
        <f>IF(ISBLANK(Historical_data_entry_1!L24),"na",LN(Historical_data_entry_1!L24))</f>
        <v>na</v>
      </c>
      <c r="M61" s="29">
        <f>IF(ISBLANK(Historical_data_entry_1!M24),"na",LN(Historical_data_entry_1!M24))</f>
        <v>6.429719478039138</v>
      </c>
      <c r="N61" s="29">
        <f>IF(ISBLANK(Historical_data_entry_1!N24),"na",LN(Historical_data_entry_1!N24))</f>
        <v>6.492239835020471</v>
      </c>
      <c r="O61" s="29" t="str">
        <f>IF(ISBLANK(Historical_data_entry_1!O24),"na",LN(Historical_data_entry_1!O24))</f>
        <v>na</v>
      </c>
      <c r="P61" s="29">
        <f>IF(ISBLANK(Historical_data_entry_1!P24),"na",LN(Historical_data_entry_1!P24))</f>
        <v>6.633318433280377</v>
      </c>
      <c r="Q61" s="29">
        <f>IF(ISBLANK(Historical_data_entry_1!Q24),"na",LN(Historical_data_entry_1!Q24))</f>
        <v>6.633318433280377</v>
      </c>
      <c r="R61" s="29" t="str">
        <f>IF(ISBLANK(Historical_data_entry_1!R24),"na",LN(Historical_data_entry_1!R24))</f>
        <v>na</v>
      </c>
      <c r="S61" s="29">
        <f>IF(ISBLANK(Historical_data_entry_1!S24),"na",LN(Historical_data_entry_1!S24))</f>
        <v>0</v>
      </c>
      <c r="T61" s="29" t="str">
        <f>IF(ISBLANK(Historical_data_entry_1!T24),"na",LN(Historical_data_entry_1!T24))</f>
        <v>na</v>
      </c>
      <c r="U61" s="29" t="str">
        <f>IF(ISBLANK(Historical_data_entry_1!U24),"na",LN(Historical_data_entry_1!U24))</f>
        <v>na</v>
      </c>
      <c r="V61" s="29" t="str">
        <f>IF(ISBLANK(Historical_data_entry_1!V24),"na",LN(Historical_data_entry_1!V24))</f>
        <v>na</v>
      </c>
      <c r="W61" s="33" t="str">
        <f>IF(ISBLANK(Historical_data_entry_1!W24),"na",LN(Historical_data_entry_1!W24))</f>
        <v>na</v>
      </c>
    </row>
    <row r="62" spans="2:23" ht="15">
      <c r="B62" s="30" t="str">
        <f>Historical_data_entry_1!C25</f>
        <v>#8</v>
      </c>
      <c r="F62" s="9">
        <f>IF(ISBLANK(Historical_data_entry_1!F25),"NA",Historical_data_entry_1!F25)</f>
        <v>35772</v>
      </c>
      <c r="G62" s="5">
        <f t="shared" si="11"/>
        <v>1732</v>
      </c>
      <c r="H62" s="78">
        <f>IF(ISBLANK(Historical_data_entry_1!H25),"na",LN(Historical_data_entry_1!H25))</f>
        <v>8.242756345714477</v>
      </c>
      <c r="I62" s="29">
        <f>IF(ISBLANK(Historical_data_entry_1!I25),"na",LN(Historical_data_entry_1!I25))</f>
        <v>6.1224928095143865</v>
      </c>
      <c r="J62" s="29">
        <f>IF(ISBLANK(Historical_data_entry_1!J25),"na",LN(Historical_data_entry_1!J25))</f>
        <v>3.1354942159291497</v>
      </c>
      <c r="K62" s="29">
        <f>IF(ISBLANK(Historical_data_entry_1!K25),"na",LN(Historical_data_entry_1!K25))</f>
        <v>6.327936783729195</v>
      </c>
      <c r="L62" s="29" t="str">
        <f>IF(ISBLANK(Historical_data_entry_1!L25),"na",LN(Historical_data_entry_1!L25))</f>
        <v>na</v>
      </c>
      <c r="M62" s="29">
        <f>IF(ISBLANK(Historical_data_entry_1!M25),"na",LN(Historical_data_entry_1!M25))</f>
        <v>6.214608098422191</v>
      </c>
      <c r="N62" s="29">
        <f>IF(ISBLANK(Historical_data_entry_1!N25),"na",LN(Historical_data_entry_1!N25))</f>
        <v>5.82600010738045</v>
      </c>
      <c r="O62" s="29" t="str">
        <f>IF(ISBLANK(Historical_data_entry_1!O25),"na",LN(Historical_data_entry_1!O25))</f>
        <v>na</v>
      </c>
      <c r="P62" s="29">
        <f>IF(ISBLANK(Historical_data_entry_1!P25),"na",LN(Historical_data_entry_1!P25))</f>
        <v>5.886104031450156</v>
      </c>
      <c r="Q62" s="29">
        <f>IF(ISBLANK(Historical_data_entry_1!Q25),"na",LN(Historical_data_entry_1!Q25))</f>
        <v>5.886104031450156</v>
      </c>
      <c r="R62" s="29" t="str">
        <f>IF(ISBLANK(Historical_data_entry_1!R25),"na",LN(Historical_data_entry_1!R25))</f>
        <v>na</v>
      </c>
      <c r="S62" s="29">
        <f>IF(ISBLANK(Historical_data_entry_1!S25),"na",LN(Historical_data_entry_1!S25))</f>
        <v>0</v>
      </c>
      <c r="T62" s="29" t="str">
        <f>IF(ISBLANK(Historical_data_entry_1!T25),"na",LN(Historical_data_entry_1!T25))</f>
        <v>na</v>
      </c>
      <c r="U62" s="29" t="str">
        <f>IF(ISBLANK(Historical_data_entry_1!U25),"na",LN(Historical_data_entry_1!U25))</f>
        <v>na</v>
      </c>
      <c r="V62" s="29" t="str">
        <f>IF(ISBLANK(Historical_data_entry_1!V25),"na",LN(Historical_data_entry_1!V25))</f>
        <v>na</v>
      </c>
      <c r="W62" s="33" t="str">
        <f>IF(ISBLANK(Historical_data_entry_1!W25),"na",LN(Historical_data_entry_1!W25))</f>
        <v>na</v>
      </c>
    </row>
    <row r="63" spans="2:23" ht="15">
      <c r="B63" s="30" t="str">
        <f>Historical_data_entry_1!C26</f>
        <v>#9</v>
      </c>
      <c r="F63" s="9">
        <f>IF(ISBLANK(Historical_data_entry_1!F26),"NA",Historical_data_entry_1!F26)</f>
        <v>35881</v>
      </c>
      <c r="G63" s="5">
        <f t="shared" si="11"/>
        <v>1841</v>
      </c>
      <c r="H63" s="78">
        <f>IF(ISBLANK(Historical_data_entry_1!H26),"na",LN(Historical_data_entry_1!H26))</f>
        <v>7.9724660159745655</v>
      </c>
      <c r="I63" s="29">
        <f>IF(ISBLANK(Historical_data_entry_1!I26),"na",LN(Historical_data_entry_1!I26))</f>
        <v>4.356708826689592</v>
      </c>
      <c r="J63" s="29">
        <f>IF(ISBLANK(Historical_data_entry_1!J26),"na",LN(Historical_data_entry_1!J26))</f>
        <v>2.302585092994046</v>
      </c>
      <c r="K63" s="29" t="str">
        <f>IF(ISBLANK(Historical_data_entry_1!K26),"na",LN(Historical_data_entry_1!K26))</f>
        <v>na</v>
      </c>
      <c r="L63" s="29" t="str">
        <f>IF(ISBLANK(Historical_data_entry_1!L26),"na",LN(Historical_data_entry_1!L26))</f>
        <v>na</v>
      </c>
      <c r="M63" s="29">
        <f>IF(ISBLANK(Historical_data_entry_1!M26),"na",LN(Historical_data_entry_1!M26))</f>
        <v>6.453624998892692</v>
      </c>
      <c r="N63" s="29">
        <f>IF(ISBLANK(Historical_data_entry_1!N26),"na",LN(Historical_data_entry_1!N26))</f>
        <v>6.054439346269371</v>
      </c>
      <c r="O63" s="29" t="str">
        <f>IF(ISBLANK(Historical_data_entry_1!O26),"na",LN(Historical_data_entry_1!O26))</f>
        <v>na</v>
      </c>
      <c r="P63" s="29" t="str">
        <f>IF(ISBLANK(Historical_data_entry_1!P26),"na",LN(Historical_data_entry_1!P26))</f>
        <v>na</v>
      </c>
      <c r="Q63" s="29">
        <f>IF(ISBLANK(Historical_data_entry_1!Q26),"na",LN(Historical_data_entry_1!Q26))</f>
        <v>6.12029741895095</v>
      </c>
      <c r="R63" s="29" t="str">
        <f>IF(ISBLANK(Historical_data_entry_1!R26),"na",LN(Historical_data_entry_1!R26))</f>
        <v>na</v>
      </c>
      <c r="S63" s="29" t="str">
        <f>IF(ISBLANK(Historical_data_entry_1!S26),"na",LN(Historical_data_entry_1!S26))</f>
        <v>na</v>
      </c>
      <c r="T63" s="29" t="str">
        <f>IF(ISBLANK(Historical_data_entry_1!T26),"na",LN(Historical_data_entry_1!T26))</f>
        <v>na</v>
      </c>
      <c r="U63" s="29" t="str">
        <f>IF(ISBLANK(Historical_data_entry_1!U26),"na",LN(Historical_data_entry_1!U26))</f>
        <v>na</v>
      </c>
      <c r="V63" s="29" t="str">
        <f>IF(ISBLANK(Historical_data_entry_1!V26),"na",LN(Historical_data_entry_1!V26))</f>
        <v>na</v>
      </c>
      <c r="W63" s="33" t="str">
        <f>IF(ISBLANK(Historical_data_entry_1!W26),"na",LN(Historical_data_entry_1!W26))</f>
        <v>na</v>
      </c>
    </row>
    <row r="64" spans="2:23" ht="15">
      <c r="B64" s="30" t="str">
        <f>Historical_data_entry_1!C27</f>
        <v>#10</v>
      </c>
      <c r="F64" s="9">
        <f>IF(ISBLANK(Historical_data_entry_1!F27),"NA",Historical_data_entry_1!F27)</f>
        <v>35999</v>
      </c>
      <c r="G64" s="5">
        <f t="shared" si="11"/>
        <v>1959</v>
      </c>
      <c r="H64" s="78">
        <f>IF(ISBLANK(Historical_data_entry_1!H27),"na",LN(Historical_data_entry_1!H27))</f>
        <v>8.070906088787819</v>
      </c>
      <c r="I64" s="29">
        <f>IF(ISBLANK(Historical_data_entry_1!I27),"na",LN(Historical_data_entry_1!I27))</f>
        <v>3.091042453358316</v>
      </c>
      <c r="J64" s="29">
        <f>IF(ISBLANK(Historical_data_entry_1!J27),"na",LN(Historical_data_entry_1!J27))</f>
        <v>1.3862943611198906</v>
      </c>
      <c r="K64" s="29" t="str">
        <f>IF(ISBLANK(Historical_data_entry_1!K27),"na",LN(Historical_data_entry_1!K27))</f>
        <v>na</v>
      </c>
      <c r="L64" s="29" t="str">
        <f>IF(ISBLANK(Historical_data_entry_1!L27),"na",LN(Historical_data_entry_1!L27))</f>
        <v>na</v>
      </c>
      <c r="M64" s="29">
        <f>IF(ISBLANK(Historical_data_entry_1!M27),"na",LN(Historical_data_entry_1!M27))</f>
        <v>6.152732694704104</v>
      </c>
      <c r="N64" s="29">
        <f>IF(ISBLANK(Historical_data_entry_1!N27),"na",LN(Historical_data_entry_1!N27))</f>
        <v>6.037870919922137</v>
      </c>
      <c r="O64" s="29" t="str">
        <f>IF(ISBLANK(Historical_data_entry_1!O27),"na",LN(Historical_data_entry_1!O27))</f>
        <v>na</v>
      </c>
      <c r="P64" s="29" t="str">
        <f>IF(ISBLANK(Historical_data_entry_1!P27),"na",LN(Historical_data_entry_1!P27))</f>
        <v>na</v>
      </c>
      <c r="Q64" s="29">
        <f>IF(ISBLANK(Historical_data_entry_1!Q27),"na",LN(Historical_data_entry_1!Q27))</f>
        <v>6.1463292576688975</v>
      </c>
      <c r="R64" s="29" t="str">
        <f>IF(ISBLANK(Historical_data_entry_1!R27),"na",LN(Historical_data_entry_1!R27))</f>
        <v>na</v>
      </c>
      <c r="S64" s="29" t="str">
        <f>IF(ISBLANK(Historical_data_entry_1!S27),"na",LN(Historical_data_entry_1!S27))</f>
        <v>na</v>
      </c>
      <c r="T64" s="29" t="str">
        <f>IF(ISBLANK(Historical_data_entry_1!T27),"na",LN(Historical_data_entry_1!T27))</f>
        <v>na</v>
      </c>
      <c r="U64" s="29" t="str">
        <f>IF(ISBLANK(Historical_data_entry_1!U27),"na",LN(Historical_data_entry_1!U27))</f>
        <v>na</v>
      </c>
      <c r="V64" s="29" t="str">
        <f>IF(ISBLANK(Historical_data_entry_1!V27),"na",LN(Historical_data_entry_1!V27))</f>
        <v>na</v>
      </c>
      <c r="W64" s="33" t="str">
        <f>IF(ISBLANK(Historical_data_entry_1!W27),"na",LN(Historical_data_entry_1!W27))</f>
        <v>na</v>
      </c>
    </row>
    <row r="65" spans="2:23" ht="15">
      <c r="B65" s="30" t="str">
        <f>Historical_data_entry_1!C28</f>
        <v>#11</v>
      </c>
      <c r="F65" s="9">
        <f>IF(ISBLANK(Historical_data_entry_1!F28),"NA",Historical_data_entry_1!F28)</f>
        <v>36056</v>
      </c>
      <c r="G65" s="5">
        <f t="shared" si="11"/>
        <v>2016</v>
      </c>
      <c r="H65" s="78">
        <f>IF(ISBLANK(Historical_data_entry_1!H28),"na",LN(Historical_data_entry_1!H28))</f>
        <v>8.070906088787819</v>
      </c>
      <c r="I65" s="29">
        <f>IF(ISBLANK(Historical_data_entry_1!I28),"na",LN(Historical_data_entry_1!I28))</f>
        <v>2.0794415416798357</v>
      </c>
      <c r="J65" s="29">
        <f>IF(ISBLANK(Historical_data_entry_1!J28),"na",LN(Historical_data_entry_1!J28))</f>
        <v>0.6931471805599453</v>
      </c>
      <c r="K65" s="29" t="str">
        <f>IF(ISBLANK(Historical_data_entry_1!K28),"na",LN(Historical_data_entry_1!K28))</f>
        <v>na</v>
      </c>
      <c r="L65" s="29" t="str">
        <f>IF(ISBLANK(Historical_data_entry_1!L28),"na",LN(Historical_data_entry_1!L28))</f>
        <v>na</v>
      </c>
      <c r="M65" s="29">
        <f>IF(ISBLANK(Historical_data_entry_1!M28),"na",LN(Historical_data_entry_1!M28))</f>
        <v>7.098375638590786</v>
      </c>
      <c r="N65" s="29" t="str">
        <f>IF(ISBLANK(Historical_data_entry_1!N28),"na",LN(Historical_data_entry_1!N28))</f>
        <v>na</v>
      </c>
      <c r="O65" s="29" t="str">
        <f>IF(ISBLANK(Historical_data_entry_1!O28),"na",LN(Historical_data_entry_1!O28))</f>
        <v>na</v>
      </c>
      <c r="P65" s="29" t="str">
        <f>IF(ISBLANK(Historical_data_entry_1!P28),"na",LN(Historical_data_entry_1!P28))</f>
        <v>na</v>
      </c>
      <c r="Q65" s="29" t="str">
        <f>IF(ISBLANK(Historical_data_entry_1!Q28),"na",LN(Historical_data_entry_1!Q28))</f>
        <v>na</v>
      </c>
      <c r="R65" s="29" t="str">
        <f>IF(ISBLANK(Historical_data_entry_1!R28),"na",LN(Historical_data_entry_1!R28))</f>
        <v>na</v>
      </c>
      <c r="S65" s="29" t="str">
        <f>IF(ISBLANK(Historical_data_entry_1!S28),"na",LN(Historical_data_entry_1!S28))</f>
        <v>na</v>
      </c>
      <c r="T65" s="29" t="str">
        <f>IF(ISBLANK(Historical_data_entry_1!T28),"na",LN(Historical_data_entry_1!T28))</f>
        <v>na</v>
      </c>
      <c r="U65" s="29" t="str">
        <f>IF(ISBLANK(Historical_data_entry_1!U28),"na",LN(Historical_data_entry_1!U28))</f>
        <v>na</v>
      </c>
      <c r="V65" s="29" t="str">
        <f>IF(ISBLANK(Historical_data_entry_1!V28),"na",LN(Historical_data_entry_1!V28))</f>
        <v>na</v>
      </c>
      <c r="W65" s="33" t="str">
        <f>IF(ISBLANK(Historical_data_entry_1!W28),"na",LN(Historical_data_entry_1!W28))</f>
        <v>na</v>
      </c>
    </row>
    <row r="66" spans="2:23" ht="15">
      <c r="B66" s="30" t="str">
        <f>Historical_data_entry_1!C29</f>
        <v>#12</v>
      </c>
      <c r="F66" s="9">
        <f>IF(ISBLANK(Historical_data_entry_1!F29),"NA",Historical_data_entry_1!F29)</f>
        <v>36145</v>
      </c>
      <c r="G66" s="5">
        <f t="shared" si="11"/>
        <v>2105</v>
      </c>
      <c r="H66" s="78">
        <f>IF(ISBLANK(Historical_data_entry_1!H29),"na",LN(Historical_data_entry_1!H29))</f>
        <v>7.090076835776092</v>
      </c>
      <c r="I66" s="29">
        <f>IF(ISBLANK(Historical_data_entry_1!I29),"na",LN(Historical_data_entry_1!I29))</f>
        <v>2.4849066497880004</v>
      </c>
      <c r="J66" s="29">
        <f>IF(ISBLANK(Historical_data_entry_1!J29),"na",LN(Historical_data_entry_1!J29))</f>
        <v>1.9459101490553132</v>
      </c>
      <c r="K66" s="29" t="str">
        <f>IF(ISBLANK(Historical_data_entry_1!K29),"na",LN(Historical_data_entry_1!K29))</f>
        <v>na</v>
      </c>
      <c r="L66" s="29" t="str">
        <f>IF(ISBLANK(Historical_data_entry_1!L29),"na",LN(Historical_data_entry_1!L29))</f>
        <v>na</v>
      </c>
      <c r="M66" s="29">
        <f>IF(ISBLANK(Historical_data_entry_1!M29),"na",LN(Historical_data_entry_1!M29))</f>
        <v>5.937536205082426</v>
      </c>
      <c r="N66" s="29">
        <f>IF(ISBLANK(Historical_data_entry_1!N29),"na",LN(Historical_data_entry_1!N29))</f>
        <v>4.969813299576001</v>
      </c>
      <c r="O66" s="29" t="str">
        <f>IF(ISBLANK(Historical_data_entry_1!O29),"na",LN(Historical_data_entry_1!O29))</f>
        <v>na</v>
      </c>
      <c r="P66" s="29">
        <f>IF(ISBLANK(Historical_data_entry_1!P29),"na",LN(Historical_data_entry_1!P29))</f>
        <v>6.338594078203183</v>
      </c>
      <c r="Q66" s="29">
        <f>IF(ISBLANK(Historical_data_entry_1!Q29),"na",LN(Historical_data_entry_1!Q29))</f>
        <v>5.84354441703136</v>
      </c>
      <c r="R66" s="29" t="str">
        <f>IF(ISBLANK(Historical_data_entry_1!R29),"na",LN(Historical_data_entry_1!R29))</f>
        <v>na</v>
      </c>
      <c r="S66" s="29" t="str">
        <f>IF(ISBLANK(Historical_data_entry_1!S29),"na",LN(Historical_data_entry_1!S29))</f>
        <v>na</v>
      </c>
      <c r="T66" s="29" t="str">
        <f>IF(ISBLANK(Historical_data_entry_1!T29),"na",LN(Historical_data_entry_1!T29))</f>
        <v>na</v>
      </c>
      <c r="U66" s="29" t="str">
        <f>IF(ISBLANK(Historical_data_entry_1!U29),"na",LN(Historical_data_entry_1!U29))</f>
        <v>na</v>
      </c>
      <c r="V66" s="29" t="str">
        <f>IF(ISBLANK(Historical_data_entry_1!V29),"na",LN(Historical_data_entry_1!V29))</f>
        <v>na</v>
      </c>
      <c r="W66" s="33" t="str">
        <f>IF(ISBLANK(Historical_data_entry_1!W29),"na",LN(Historical_data_entry_1!W29))</f>
        <v>na</v>
      </c>
    </row>
    <row r="67" spans="2:23" ht="15">
      <c r="B67" s="30" t="str">
        <f>Historical_data_entry_1!C30</f>
        <v>#13</v>
      </c>
      <c r="F67" s="9">
        <f>IF(ISBLANK(Historical_data_entry_1!F30),"NA",Historical_data_entry_1!F30)</f>
        <v>36220</v>
      </c>
      <c r="G67" s="5">
        <f t="shared" si="11"/>
        <v>2180</v>
      </c>
      <c r="H67" s="78">
        <f>IF(ISBLANK(Historical_data_entry_1!H30),"na",LN(Historical_data_entry_1!H30))</f>
        <v>7.762170607138205</v>
      </c>
      <c r="I67" s="29">
        <f>IF(ISBLANK(Historical_data_entry_1!I30),"na",LN(Historical_data_entry_1!I30))</f>
        <v>1.6094379124341003</v>
      </c>
      <c r="J67" s="29" t="str">
        <f>IF(ISBLANK(Historical_data_entry_1!J30),"na",LN(Historical_data_entry_1!J30))</f>
        <v>na</v>
      </c>
      <c r="K67" s="29" t="str">
        <f>IF(ISBLANK(Historical_data_entry_1!K30),"na",LN(Historical_data_entry_1!K30))</f>
        <v>na</v>
      </c>
      <c r="L67" s="29" t="str">
        <f>IF(ISBLANK(Historical_data_entry_1!L30),"na",LN(Historical_data_entry_1!L30))</f>
        <v>na</v>
      </c>
      <c r="M67" s="29">
        <f>IF(ISBLANK(Historical_data_entry_1!M30),"na",LN(Historical_data_entry_1!M30))</f>
        <v>6.551080335043404</v>
      </c>
      <c r="N67" s="29">
        <f>IF(ISBLANK(Historical_data_entry_1!N30),"na",LN(Historical_data_entry_1!N30))</f>
        <v>4.812184355372417</v>
      </c>
      <c r="O67" s="29" t="str">
        <f>IF(ISBLANK(Historical_data_entry_1!O30),"na",LN(Historical_data_entry_1!O30))</f>
        <v>na</v>
      </c>
      <c r="P67" s="29">
        <f>IF(ISBLANK(Historical_data_entry_1!P30),"na",LN(Historical_data_entry_1!P30))</f>
        <v>4.02535169073515</v>
      </c>
      <c r="Q67" s="29">
        <f>IF(ISBLANK(Historical_data_entry_1!Q30),"na",LN(Historical_data_entry_1!Q30))</f>
        <v>6.1092475827643655</v>
      </c>
      <c r="R67" s="29" t="str">
        <f>IF(ISBLANK(Historical_data_entry_1!R30),"na",LN(Historical_data_entry_1!R30))</f>
        <v>na</v>
      </c>
      <c r="S67" s="29" t="str">
        <f>IF(ISBLANK(Historical_data_entry_1!S30),"na",LN(Historical_data_entry_1!S30))</f>
        <v>na</v>
      </c>
      <c r="T67" s="29" t="str">
        <f>IF(ISBLANK(Historical_data_entry_1!T30),"na",LN(Historical_data_entry_1!T30))</f>
        <v>na</v>
      </c>
      <c r="U67" s="29" t="str">
        <f>IF(ISBLANK(Historical_data_entry_1!U30),"na",LN(Historical_data_entry_1!U30))</f>
        <v>na</v>
      </c>
      <c r="V67" s="29" t="str">
        <f>IF(ISBLANK(Historical_data_entry_1!V30),"na",LN(Historical_data_entry_1!V30))</f>
        <v>na</v>
      </c>
      <c r="W67" s="33" t="str">
        <f>IF(ISBLANK(Historical_data_entry_1!W30),"na",LN(Historical_data_entry_1!W30))</f>
        <v>na</v>
      </c>
    </row>
    <row r="68" spans="2:23" ht="15">
      <c r="B68" s="30" t="str">
        <f>Historical_data_entry_1!C31</f>
        <v>#14</v>
      </c>
      <c r="F68" s="9">
        <f>IF(ISBLANK(Historical_data_entry_1!F31),"NA",Historical_data_entry_1!F31)</f>
        <v>36332</v>
      </c>
      <c r="G68" s="5">
        <f t="shared" si="11"/>
        <v>2292</v>
      </c>
      <c r="H68" s="78" t="str">
        <f>IF(ISBLANK(Historical_data_entry_1!H31),"na",LN(Historical_data_entry_1!H31))</f>
        <v>na</v>
      </c>
      <c r="I68" s="29" t="str">
        <f>IF(ISBLANK(Historical_data_entry_1!I31),"na",LN(Historical_data_entry_1!I31))</f>
        <v>na</v>
      </c>
      <c r="J68" s="29" t="str">
        <f>IF(ISBLANK(Historical_data_entry_1!J31),"na",LN(Historical_data_entry_1!J31))</f>
        <v>na</v>
      </c>
      <c r="K68" s="29" t="str">
        <f>IF(ISBLANK(Historical_data_entry_1!K31),"na",LN(Historical_data_entry_1!K31))</f>
        <v>na</v>
      </c>
      <c r="L68" s="29" t="str">
        <f>IF(ISBLANK(Historical_data_entry_1!L31),"na",LN(Historical_data_entry_1!L31))</f>
        <v>na</v>
      </c>
      <c r="M68" s="29">
        <f>IF(ISBLANK(Historical_data_entry_1!M31),"na",LN(Historical_data_entry_1!M31))</f>
        <v>6.352629396319567</v>
      </c>
      <c r="N68" s="29">
        <f>IF(ISBLANK(Historical_data_entry_1!N31),"na",LN(Historical_data_entry_1!N31))</f>
        <v>6.139884552226255</v>
      </c>
      <c r="O68" s="29" t="str">
        <f>IF(ISBLANK(Historical_data_entry_1!O31),"na",LN(Historical_data_entry_1!O31))</f>
        <v>na</v>
      </c>
      <c r="P68" s="29" t="str">
        <f>IF(ISBLANK(Historical_data_entry_1!P31),"na",LN(Historical_data_entry_1!P31))</f>
        <v>na</v>
      </c>
      <c r="Q68" s="29" t="str">
        <f>IF(ISBLANK(Historical_data_entry_1!Q31),"na",LN(Historical_data_entry_1!Q31))</f>
        <v>na</v>
      </c>
      <c r="R68" s="29" t="str">
        <f>IF(ISBLANK(Historical_data_entry_1!R31),"na",LN(Historical_data_entry_1!R31))</f>
        <v>na</v>
      </c>
      <c r="S68" s="29" t="str">
        <f>IF(ISBLANK(Historical_data_entry_1!S31),"na",LN(Historical_data_entry_1!S31))</f>
        <v>na</v>
      </c>
      <c r="T68" s="29" t="str">
        <f>IF(ISBLANK(Historical_data_entry_1!T31),"na",LN(Historical_data_entry_1!T31))</f>
        <v>na</v>
      </c>
      <c r="U68" s="29" t="str">
        <f>IF(ISBLANK(Historical_data_entry_1!U31),"na",LN(Historical_data_entry_1!U31))</f>
        <v>na</v>
      </c>
      <c r="V68" s="29" t="str">
        <f>IF(ISBLANK(Historical_data_entry_1!V31),"na",LN(Historical_data_entry_1!V31))</f>
        <v>na</v>
      </c>
      <c r="W68" s="33" t="str">
        <f>IF(ISBLANK(Historical_data_entry_1!W31),"na",LN(Historical_data_entry_1!W31))</f>
        <v>na</v>
      </c>
    </row>
    <row r="69" spans="2:23" ht="15">
      <c r="B69" s="30" t="str">
        <f>Historical_data_entry_1!C32</f>
        <v>#15</v>
      </c>
      <c r="F69" s="9">
        <f>IF(ISBLANK(Historical_data_entry_1!F32),"NA",Historical_data_entry_1!F32)</f>
        <v>36410</v>
      </c>
      <c r="G69" s="5">
        <f t="shared" si="11"/>
        <v>2370</v>
      </c>
      <c r="H69" s="78" t="str">
        <f>IF(ISBLANK(Historical_data_entry_1!H32),"na",LN(Historical_data_entry_1!H32))</f>
        <v>na</v>
      </c>
      <c r="I69" s="29" t="str">
        <f>IF(ISBLANK(Historical_data_entry_1!I32),"na",LN(Historical_data_entry_1!I32))</f>
        <v>na</v>
      </c>
      <c r="J69" s="29" t="str">
        <f>IF(ISBLANK(Historical_data_entry_1!J32),"na",LN(Historical_data_entry_1!J32))</f>
        <v>na</v>
      </c>
      <c r="K69" s="29" t="str">
        <f>IF(ISBLANK(Historical_data_entry_1!K32),"na",LN(Historical_data_entry_1!K32))</f>
        <v>na</v>
      </c>
      <c r="L69" s="29" t="str">
        <f>IF(ISBLANK(Historical_data_entry_1!L32),"na",LN(Historical_data_entry_1!L32))</f>
        <v>na</v>
      </c>
      <c r="M69" s="29">
        <f>IF(ISBLANK(Historical_data_entry_1!M32),"na",LN(Historical_data_entry_1!M32))</f>
        <v>6.956545443151569</v>
      </c>
      <c r="N69" s="29">
        <f>IF(ISBLANK(Historical_data_entry_1!N32),"na",LN(Historical_data_entry_1!N32))</f>
        <v>5.043425116919247</v>
      </c>
      <c r="O69" s="29" t="str">
        <f>IF(ISBLANK(Historical_data_entry_1!O32),"na",LN(Historical_data_entry_1!O32))</f>
        <v>na</v>
      </c>
      <c r="P69" s="29" t="str">
        <f>IF(ISBLANK(Historical_data_entry_1!P32),"na",LN(Historical_data_entry_1!P32))</f>
        <v>na</v>
      </c>
      <c r="Q69" s="29" t="str">
        <f>IF(ISBLANK(Historical_data_entry_1!Q32),"na",LN(Historical_data_entry_1!Q32))</f>
        <v>na</v>
      </c>
      <c r="R69" s="29" t="str">
        <f>IF(ISBLANK(Historical_data_entry_1!R32),"na",LN(Historical_data_entry_1!R32))</f>
        <v>na</v>
      </c>
      <c r="S69" s="29" t="str">
        <f>IF(ISBLANK(Historical_data_entry_1!S32),"na",LN(Historical_data_entry_1!S32))</f>
        <v>na</v>
      </c>
      <c r="T69" s="29" t="str">
        <f>IF(ISBLANK(Historical_data_entry_1!T32),"na",LN(Historical_data_entry_1!T32))</f>
        <v>na</v>
      </c>
      <c r="U69" s="29" t="str">
        <f>IF(ISBLANK(Historical_data_entry_1!U32),"na",LN(Historical_data_entry_1!U32))</f>
        <v>na</v>
      </c>
      <c r="V69" s="29" t="str">
        <f>IF(ISBLANK(Historical_data_entry_1!V32),"na",LN(Historical_data_entry_1!V32))</f>
        <v>na</v>
      </c>
      <c r="W69" s="33" t="str">
        <f>IF(ISBLANK(Historical_data_entry_1!W32),"na",LN(Historical_data_entry_1!W32))</f>
        <v>na</v>
      </c>
    </row>
    <row r="70" spans="2:23" ht="15">
      <c r="B70" s="30" t="str">
        <f>Historical_data_entry_1!C33</f>
        <v>#16</v>
      </c>
      <c r="F70" s="9">
        <f>IF(ISBLANK(Historical_data_entry_1!F33),"NA",Historical_data_entry_1!F33)</f>
        <v>36524</v>
      </c>
      <c r="G70" s="5">
        <f t="shared" si="11"/>
        <v>2484</v>
      </c>
      <c r="H70" s="78" t="str">
        <f>IF(ISBLANK(Historical_data_entry_1!H33),"na",LN(Historical_data_entry_1!H33))</f>
        <v>na</v>
      </c>
      <c r="I70" s="29" t="str">
        <f>IF(ISBLANK(Historical_data_entry_1!I33),"na",LN(Historical_data_entry_1!I33))</f>
        <v>na</v>
      </c>
      <c r="J70" s="29" t="str">
        <f>IF(ISBLANK(Historical_data_entry_1!J33),"na",LN(Historical_data_entry_1!J33))</f>
        <v>na</v>
      </c>
      <c r="K70" s="29" t="str">
        <f>IF(ISBLANK(Historical_data_entry_1!K33),"na",LN(Historical_data_entry_1!K33))</f>
        <v>na</v>
      </c>
      <c r="L70" s="29" t="str">
        <f>IF(ISBLANK(Historical_data_entry_1!L33),"na",LN(Historical_data_entry_1!L33))</f>
        <v>na</v>
      </c>
      <c r="M70" s="29">
        <f>IF(ISBLANK(Historical_data_entry_1!M33),"na",LN(Historical_data_entry_1!M33))</f>
        <v>6.263398262591624</v>
      </c>
      <c r="N70" s="29">
        <f>IF(ISBLANK(Historical_data_entry_1!N33),"na",LN(Historical_data_entry_1!N33))</f>
        <v>5.393627546352362</v>
      </c>
      <c r="O70" s="29" t="str">
        <f>IF(ISBLANK(Historical_data_entry_1!O33),"na",LN(Historical_data_entry_1!O33))</f>
        <v>na</v>
      </c>
      <c r="P70" s="29" t="str">
        <f>IF(ISBLANK(Historical_data_entry_1!P33),"na",LN(Historical_data_entry_1!P33))</f>
        <v>na</v>
      </c>
      <c r="Q70" s="29" t="str">
        <f>IF(ISBLANK(Historical_data_entry_1!Q33),"na",LN(Historical_data_entry_1!Q33))</f>
        <v>na</v>
      </c>
      <c r="R70" s="29" t="str">
        <f>IF(ISBLANK(Historical_data_entry_1!R33),"na",LN(Historical_data_entry_1!R33))</f>
        <v>na</v>
      </c>
      <c r="S70" s="29" t="str">
        <f>IF(ISBLANK(Historical_data_entry_1!S33),"na",LN(Historical_data_entry_1!S33))</f>
        <v>na</v>
      </c>
      <c r="T70" s="29" t="str">
        <f>IF(ISBLANK(Historical_data_entry_1!T33),"na",LN(Historical_data_entry_1!T33))</f>
        <v>na</v>
      </c>
      <c r="U70" s="29" t="str">
        <f>IF(ISBLANK(Historical_data_entry_1!U33),"na",LN(Historical_data_entry_1!U33))</f>
        <v>na</v>
      </c>
      <c r="V70" s="29" t="str">
        <f>IF(ISBLANK(Historical_data_entry_1!V33),"na",LN(Historical_data_entry_1!V33))</f>
        <v>na</v>
      </c>
      <c r="W70" s="33" t="str">
        <f>IF(ISBLANK(Historical_data_entry_1!W33),"na",LN(Historical_data_entry_1!W33))</f>
        <v>na</v>
      </c>
    </row>
    <row r="71" spans="2:23" ht="15">
      <c r="B71" s="30" t="str">
        <f>Historical_data_entry_1!C34</f>
        <v>#17</v>
      </c>
      <c r="F71" s="9">
        <f>IF(ISBLANK(Historical_data_entry_1!F34),"NA",Historical_data_entry_1!F34)</f>
        <v>36605</v>
      </c>
      <c r="G71" s="5">
        <f t="shared" si="11"/>
        <v>2565</v>
      </c>
      <c r="H71" s="78" t="str">
        <f>IF(ISBLANK(Historical_data_entry_1!H34),"na",LN(Historical_data_entry_1!H34))</f>
        <v>na</v>
      </c>
      <c r="I71" s="29" t="str">
        <f>IF(ISBLANK(Historical_data_entry_1!I34),"na",LN(Historical_data_entry_1!I34))</f>
        <v>na</v>
      </c>
      <c r="J71" s="29" t="str">
        <f>IF(ISBLANK(Historical_data_entry_1!J34),"na",LN(Historical_data_entry_1!J34))</f>
        <v>na</v>
      </c>
      <c r="K71" s="29" t="str">
        <f>IF(ISBLANK(Historical_data_entry_1!K34),"na",LN(Historical_data_entry_1!K34))</f>
        <v>na</v>
      </c>
      <c r="L71" s="29" t="str">
        <f>IF(ISBLANK(Historical_data_entry_1!L34),"na",LN(Historical_data_entry_1!L34))</f>
        <v>na</v>
      </c>
      <c r="M71" s="29">
        <f>IF(ISBLANK(Historical_data_entry_1!M34),"na",LN(Historical_data_entry_1!M34))</f>
        <v>6.2166061010848646</v>
      </c>
      <c r="N71" s="29">
        <f>IF(ISBLANK(Historical_data_entry_1!N34),"na",LN(Historical_data_entry_1!N34))</f>
        <v>5.153291594497779</v>
      </c>
      <c r="O71" s="29" t="str">
        <f>IF(ISBLANK(Historical_data_entry_1!O34),"na",LN(Historical_data_entry_1!O34))</f>
        <v>na</v>
      </c>
      <c r="P71" s="29" t="str">
        <f>IF(ISBLANK(Historical_data_entry_1!P34),"na",LN(Historical_data_entry_1!P34))</f>
        <v>na</v>
      </c>
      <c r="Q71" s="29" t="str">
        <f>IF(ISBLANK(Historical_data_entry_1!Q34),"na",LN(Historical_data_entry_1!Q34))</f>
        <v>na</v>
      </c>
      <c r="R71" s="29" t="str">
        <f>IF(ISBLANK(Historical_data_entry_1!R34),"na",LN(Historical_data_entry_1!R34))</f>
        <v>na</v>
      </c>
      <c r="S71" s="29" t="str">
        <f>IF(ISBLANK(Historical_data_entry_1!S34),"na",LN(Historical_data_entry_1!S34))</f>
        <v>na</v>
      </c>
      <c r="T71" s="29" t="str">
        <f>IF(ISBLANK(Historical_data_entry_1!T34),"na",LN(Historical_data_entry_1!T34))</f>
        <v>na</v>
      </c>
      <c r="U71" s="29" t="str">
        <f>IF(ISBLANK(Historical_data_entry_1!U34),"na",LN(Historical_data_entry_1!U34))</f>
        <v>na</v>
      </c>
      <c r="V71" s="29" t="str">
        <f>IF(ISBLANK(Historical_data_entry_1!V34),"na",LN(Historical_data_entry_1!V34))</f>
        <v>na</v>
      </c>
      <c r="W71" s="33" t="str">
        <f>IF(ISBLANK(Historical_data_entry_1!W34),"na",LN(Historical_data_entry_1!W34))</f>
        <v>na</v>
      </c>
    </row>
    <row r="72" spans="2:23" ht="15">
      <c r="B72" s="30" t="str">
        <f>Historical_data_entry_1!C35</f>
        <v>#18</v>
      </c>
      <c r="F72" s="9">
        <f>IF(ISBLANK(Historical_data_entry_1!F35),"NA",Historical_data_entry_1!F35)</f>
        <v>36699</v>
      </c>
      <c r="G72" s="5">
        <f t="shared" si="11"/>
        <v>2659</v>
      </c>
      <c r="H72" s="78" t="str">
        <f>IF(ISBLANK(Historical_data_entry_1!H35),"na",LN(Historical_data_entry_1!H35))</f>
        <v>na</v>
      </c>
      <c r="I72" s="29" t="str">
        <f>IF(ISBLANK(Historical_data_entry_1!I35),"na",LN(Historical_data_entry_1!I35))</f>
        <v>na</v>
      </c>
      <c r="J72" s="29" t="str">
        <f>IF(ISBLANK(Historical_data_entry_1!J35),"na",LN(Historical_data_entry_1!J35))</f>
        <v>na</v>
      </c>
      <c r="K72" s="29" t="str">
        <f>IF(ISBLANK(Historical_data_entry_1!K35),"na",LN(Historical_data_entry_1!K35))</f>
        <v>na</v>
      </c>
      <c r="L72" s="29" t="str">
        <f>IF(ISBLANK(Historical_data_entry_1!L35),"na",LN(Historical_data_entry_1!L35))</f>
        <v>na</v>
      </c>
      <c r="M72" s="29">
        <f>IF(ISBLANK(Historical_data_entry_1!M35),"na",LN(Historical_data_entry_1!M35))</f>
        <v>6.040254711277414</v>
      </c>
      <c r="N72" s="29">
        <f>IF(ISBLANK(Historical_data_entry_1!N35),"na",LN(Historical_data_entry_1!N35))</f>
        <v>4.983606621708336</v>
      </c>
      <c r="O72" s="29" t="str">
        <f>IF(ISBLANK(Historical_data_entry_1!O35),"na",LN(Historical_data_entry_1!O35))</f>
        <v>na</v>
      </c>
      <c r="P72" s="29" t="str">
        <f>IF(ISBLANK(Historical_data_entry_1!P35),"na",LN(Historical_data_entry_1!P35))</f>
        <v>na</v>
      </c>
      <c r="Q72" s="29" t="str">
        <f>IF(ISBLANK(Historical_data_entry_1!Q35),"na",LN(Historical_data_entry_1!Q35))</f>
        <v>na</v>
      </c>
      <c r="R72" s="29" t="str">
        <f>IF(ISBLANK(Historical_data_entry_1!R35),"na",LN(Historical_data_entry_1!R35))</f>
        <v>na</v>
      </c>
      <c r="S72" s="29" t="str">
        <f>IF(ISBLANK(Historical_data_entry_1!S35),"na",LN(Historical_data_entry_1!S35))</f>
        <v>na</v>
      </c>
      <c r="T72" s="29" t="str">
        <f>IF(ISBLANK(Historical_data_entry_1!T35),"na",LN(Historical_data_entry_1!T35))</f>
        <v>na</v>
      </c>
      <c r="U72" s="29" t="str">
        <f>IF(ISBLANK(Historical_data_entry_1!U35),"na",LN(Historical_data_entry_1!U35))</f>
        <v>na</v>
      </c>
      <c r="V72" s="29" t="str">
        <f>IF(ISBLANK(Historical_data_entry_1!V35),"na",LN(Historical_data_entry_1!V35))</f>
        <v>na</v>
      </c>
      <c r="W72" s="33" t="str">
        <f>IF(ISBLANK(Historical_data_entry_1!W35),"na",LN(Historical_data_entry_1!W35))</f>
        <v>na</v>
      </c>
    </row>
    <row r="73" spans="2:23" ht="15">
      <c r="B73" s="30" t="str">
        <f>Historical_data_entry_1!C36</f>
        <v>#19</v>
      </c>
      <c r="F73" s="9" t="str">
        <f>IF(ISBLANK(Historical_data_entry_1!F36),"NA",Historical_data_entry_1!F36)</f>
        <v>NA</v>
      </c>
      <c r="G73" s="5" t="str">
        <f t="shared" si="11"/>
        <v>NA</v>
      </c>
      <c r="H73" s="78" t="str">
        <f>IF(ISBLANK(Historical_data_entry_1!H36),"na",LN(Historical_data_entry_1!H36))</f>
        <v>na</v>
      </c>
      <c r="I73" s="29" t="str">
        <f>IF(ISBLANK(Historical_data_entry_1!I36),"na",LN(Historical_data_entry_1!I36))</f>
        <v>na</v>
      </c>
      <c r="J73" s="29" t="str">
        <f>IF(ISBLANK(Historical_data_entry_1!J36),"na",LN(Historical_data_entry_1!J36))</f>
        <v>na</v>
      </c>
      <c r="K73" s="29" t="str">
        <f>IF(ISBLANK(Historical_data_entry_1!K36),"na",LN(Historical_data_entry_1!K36))</f>
        <v>na</v>
      </c>
      <c r="L73" s="29" t="str">
        <f>IF(ISBLANK(Historical_data_entry_1!L36),"na",LN(Historical_data_entry_1!L36))</f>
        <v>na</v>
      </c>
      <c r="M73" s="29" t="str">
        <f>IF(ISBLANK(Historical_data_entry_1!M36),"na",LN(Historical_data_entry_1!M36))</f>
        <v>na</v>
      </c>
      <c r="N73" s="29" t="str">
        <f>IF(ISBLANK(Historical_data_entry_1!N36),"na",LN(Historical_data_entry_1!N36))</f>
        <v>na</v>
      </c>
      <c r="O73" s="29" t="str">
        <f>IF(ISBLANK(Historical_data_entry_1!O36),"na",LN(Historical_data_entry_1!O36))</f>
        <v>na</v>
      </c>
      <c r="P73" s="29" t="str">
        <f>IF(ISBLANK(Historical_data_entry_1!P36),"na",LN(Historical_data_entry_1!P36))</f>
        <v>na</v>
      </c>
      <c r="Q73" s="29" t="str">
        <f>IF(ISBLANK(Historical_data_entry_1!Q36),"na",LN(Historical_data_entry_1!Q36))</f>
        <v>na</v>
      </c>
      <c r="R73" s="29" t="str">
        <f>IF(ISBLANK(Historical_data_entry_1!R36),"na",LN(Historical_data_entry_1!R36))</f>
        <v>na</v>
      </c>
      <c r="S73" s="29" t="str">
        <f>IF(ISBLANK(Historical_data_entry_1!S36),"na",LN(Historical_data_entry_1!S36))</f>
        <v>na</v>
      </c>
      <c r="T73" s="29" t="str">
        <f>IF(ISBLANK(Historical_data_entry_1!T36),"na",LN(Historical_data_entry_1!T36))</f>
        <v>na</v>
      </c>
      <c r="U73" s="29" t="str">
        <f>IF(ISBLANK(Historical_data_entry_1!U36),"na",LN(Historical_data_entry_1!U36))</f>
        <v>na</v>
      </c>
      <c r="V73" s="29" t="str">
        <f>IF(ISBLANK(Historical_data_entry_1!V36),"na",LN(Historical_data_entry_1!V36))</f>
        <v>na</v>
      </c>
      <c r="W73" s="33" t="str">
        <f>IF(ISBLANK(Historical_data_entry_1!W36),"na",LN(Historical_data_entry_1!W36))</f>
        <v>na</v>
      </c>
    </row>
    <row r="74" spans="2:23" ht="15">
      <c r="B74" s="30" t="str">
        <f>Historical_data_entry_1!C37</f>
        <v>#20</v>
      </c>
      <c r="F74" s="9" t="str">
        <f>IF(ISBLANK(Historical_data_entry_1!F37),"NA",Historical_data_entry_1!F37)</f>
        <v>NA</v>
      </c>
      <c r="G74" s="5" t="str">
        <f t="shared" si="11"/>
        <v>NA</v>
      </c>
      <c r="H74" s="78" t="str">
        <f>IF(ISBLANK(Historical_data_entry_1!H37),"na",LN(Historical_data_entry_1!H37))</f>
        <v>na</v>
      </c>
      <c r="I74" s="29" t="str">
        <f>IF(ISBLANK(Historical_data_entry_1!I37),"na",LN(Historical_data_entry_1!I37))</f>
        <v>na</v>
      </c>
      <c r="J74" s="29" t="str">
        <f>IF(ISBLANK(Historical_data_entry_1!J37),"na",LN(Historical_data_entry_1!J37))</f>
        <v>na</v>
      </c>
      <c r="K74" s="29" t="str">
        <f>IF(ISBLANK(Historical_data_entry_1!K37),"na",LN(Historical_data_entry_1!K37))</f>
        <v>na</v>
      </c>
      <c r="L74" s="29" t="str">
        <f>IF(ISBLANK(Historical_data_entry_1!L37),"na",LN(Historical_data_entry_1!L37))</f>
        <v>na</v>
      </c>
      <c r="M74" s="29" t="str">
        <f>IF(ISBLANK(Historical_data_entry_1!M37),"na",LN(Historical_data_entry_1!M37))</f>
        <v>na</v>
      </c>
      <c r="N74" s="29" t="str">
        <f>IF(ISBLANK(Historical_data_entry_1!N37),"na",LN(Historical_data_entry_1!N37))</f>
        <v>na</v>
      </c>
      <c r="O74" s="29" t="str">
        <f>IF(ISBLANK(Historical_data_entry_1!O37),"na",LN(Historical_data_entry_1!O37))</f>
        <v>na</v>
      </c>
      <c r="P74" s="29" t="str">
        <f>IF(ISBLANK(Historical_data_entry_1!P37),"na",LN(Historical_data_entry_1!P37))</f>
        <v>na</v>
      </c>
      <c r="Q74" s="29" t="str">
        <f>IF(ISBLANK(Historical_data_entry_1!Q37),"na",LN(Historical_data_entry_1!Q37))</f>
        <v>na</v>
      </c>
      <c r="R74" s="29" t="str">
        <f>IF(ISBLANK(Historical_data_entry_1!R37),"na",LN(Historical_data_entry_1!R37))</f>
        <v>na</v>
      </c>
      <c r="S74" s="29" t="str">
        <f>IF(ISBLANK(Historical_data_entry_1!S37),"na",LN(Historical_data_entry_1!S37))</f>
        <v>na</v>
      </c>
      <c r="T74" s="29" t="str">
        <f>IF(ISBLANK(Historical_data_entry_1!T37),"na",LN(Historical_data_entry_1!T37))</f>
        <v>na</v>
      </c>
      <c r="U74" s="29" t="str">
        <f>IF(ISBLANK(Historical_data_entry_1!U37),"na",LN(Historical_data_entry_1!U37))</f>
        <v>na</v>
      </c>
      <c r="V74" s="29" t="str">
        <f>IF(ISBLANK(Historical_data_entry_1!V37),"na",LN(Historical_data_entry_1!V37))</f>
        <v>na</v>
      </c>
      <c r="W74" s="33" t="str">
        <f>IF(ISBLANK(Historical_data_entry_1!W37),"na",LN(Historical_data_entry_1!W37))</f>
        <v>na</v>
      </c>
    </row>
    <row r="75" spans="2:23" ht="15.75" thickBot="1">
      <c r="B75" s="5" t="s">
        <v>132</v>
      </c>
      <c r="F75" s="9"/>
      <c r="H75" s="34">
        <f aca="true" t="shared" si="12" ref="H75:W75">IF(ISTEXT(H37),"NA",LN(H37))</f>
        <v>8.398808051454509</v>
      </c>
      <c r="I75" s="35">
        <f t="shared" si="12"/>
        <v>7.335688304658562</v>
      </c>
      <c r="J75" s="35">
        <f t="shared" si="12"/>
        <v>5.113629375592495</v>
      </c>
      <c r="K75" s="35">
        <f t="shared" si="12"/>
        <v>5.288988271259519</v>
      </c>
      <c r="L75" s="35" t="str">
        <f t="shared" si="12"/>
        <v>NA</v>
      </c>
      <c r="M75" s="35">
        <f t="shared" si="12"/>
        <v>6.7868497262807725</v>
      </c>
      <c r="N75" s="35">
        <f t="shared" si="12"/>
        <v>6.191103241708913</v>
      </c>
      <c r="O75" s="35" t="str">
        <f t="shared" si="12"/>
        <v>NA</v>
      </c>
      <c r="P75" s="35">
        <f t="shared" si="12"/>
        <v>6.109802984056065</v>
      </c>
      <c r="Q75" s="35">
        <f t="shared" si="12"/>
        <v>6.190144626243818</v>
      </c>
      <c r="R75" s="35">
        <f t="shared" si="12"/>
        <v>6.1042350409408215</v>
      </c>
      <c r="S75" s="35">
        <f t="shared" si="12"/>
        <v>5.1436109767870555</v>
      </c>
      <c r="T75" s="35" t="str">
        <f t="shared" si="12"/>
        <v>NA</v>
      </c>
      <c r="U75" s="35" t="str">
        <f t="shared" si="12"/>
        <v>NA</v>
      </c>
      <c r="V75" s="35" t="str">
        <f t="shared" si="12"/>
        <v>NA</v>
      </c>
      <c r="W75" s="36" t="str">
        <f t="shared" si="12"/>
        <v>NA</v>
      </c>
    </row>
    <row r="76" spans="6:23" ht="15">
      <c r="F76" s="9"/>
      <c r="H76" s="14"/>
      <c r="I76" s="13"/>
      <c r="J76" s="13"/>
      <c r="K76" s="13"/>
      <c r="L76" s="13"/>
      <c r="M76" s="13"/>
      <c r="N76" s="13"/>
      <c r="O76" s="13"/>
      <c r="P76" s="13"/>
      <c r="Q76" s="13"/>
      <c r="R76" s="13"/>
      <c r="S76" s="13"/>
      <c r="T76" s="13"/>
      <c r="U76" s="13"/>
      <c r="V76" s="13"/>
      <c r="W76" s="13"/>
    </row>
    <row r="77" spans="6:23" s="38" customFormat="1" ht="15">
      <c r="F77" s="37"/>
      <c r="H77" s="76"/>
      <c r="I77" s="76"/>
      <c r="J77" s="76"/>
      <c r="K77" s="76"/>
      <c r="L77" s="76"/>
      <c r="M77" s="76"/>
      <c r="N77" s="76"/>
      <c r="O77" s="76"/>
      <c r="P77" s="76"/>
      <c r="Q77" s="76"/>
      <c r="R77" s="76"/>
      <c r="S77" s="76"/>
      <c r="T77" s="76"/>
      <c r="U77" s="76"/>
      <c r="V77" s="76"/>
      <c r="W77" s="76"/>
    </row>
    <row r="78" spans="1:19" ht="19.5">
      <c r="A78" s="22" t="s">
        <v>229</v>
      </c>
      <c r="F78" s="9"/>
      <c r="H78" s="1"/>
      <c r="I78" s="1"/>
      <c r="J78" s="1"/>
      <c r="K78" s="1"/>
      <c r="L78" s="1"/>
      <c r="M78" s="1"/>
      <c r="N78" s="1"/>
      <c r="O78" s="1"/>
      <c r="P78" s="1"/>
      <c r="Q78" s="1"/>
      <c r="R78" s="1"/>
      <c r="S78" s="1"/>
    </row>
    <row r="79" spans="1:23" s="27" customFormat="1" ht="19.5">
      <c r="A79" s="62"/>
      <c r="B79" s="63" t="s">
        <v>230</v>
      </c>
      <c r="C79" s="63"/>
      <c r="D79" s="63" t="s">
        <v>210</v>
      </c>
      <c r="E79" s="63" t="s">
        <v>285</v>
      </c>
      <c r="F79" s="63"/>
      <c r="G79" s="63" t="s">
        <v>219</v>
      </c>
      <c r="H79" s="63">
        <f>ABS(SLOPE(H55:H74,$G$55:$G$74))</f>
        <v>0.0005645615216764133</v>
      </c>
      <c r="I79" s="63">
        <f aca="true" t="shared" si="13" ref="I79:W79">ABS(SLOPE(I55:I74,$G$55:$G$74))</f>
        <v>0.0028991054888281814</v>
      </c>
      <c r="J79" s="63">
        <f t="shared" si="13"/>
        <v>0.0022744406641531647</v>
      </c>
      <c r="K79" s="63">
        <f t="shared" si="13"/>
        <v>0.0017516830417117308</v>
      </c>
      <c r="L79" s="63" t="e">
        <f t="shared" si="13"/>
        <v>#DIV/0!</v>
      </c>
      <c r="M79" s="63">
        <f t="shared" si="13"/>
        <v>0.000497665917923504</v>
      </c>
      <c r="N79" s="63">
        <f t="shared" si="13"/>
        <v>0.0012409424552992452</v>
      </c>
      <c r="O79" s="63" t="e">
        <f t="shared" si="13"/>
        <v>#DIV/0!</v>
      </c>
      <c r="P79" s="63">
        <f t="shared" si="13"/>
        <v>0.00022347131982382426</v>
      </c>
      <c r="Q79" s="63">
        <f t="shared" si="13"/>
        <v>3.497650771375672E-05</v>
      </c>
      <c r="R79" s="63">
        <f t="shared" si="13"/>
        <v>0.006029545103833939</v>
      </c>
      <c r="S79" s="63">
        <f t="shared" si="13"/>
        <v>0.004042706720702541</v>
      </c>
      <c r="T79" s="63" t="e">
        <f t="shared" si="13"/>
        <v>#DIV/0!</v>
      </c>
      <c r="U79" s="63" t="e">
        <f t="shared" si="13"/>
        <v>#DIV/0!</v>
      </c>
      <c r="V79" s="63" t="e">
        <f t="shared" si="13"/>
        <v>#DIV/0!</v>
      </c>
      <c r="W79" s="63" t="e">
        <f t="shared" si="13"/>
        <v>#DIV/0!</v>
      </c>
    </row>
    <row r="80" spans="1:23" s="27" customFormat="1" ht="18">
      <c r="A80" s="64"/>
      <c r="B80" s="18" t="s">
        <v>215</v>
      </c>
      <c r="C80" s="18"/>
      <c r="D80" s="18" t="s">
        <v>198</v>
      </c>
      <c r="E80" s="18"/>
      <c r="F80" s="18"/>
      <c r="G80" s="18" t="s">
        <v>220</v>
      </c>
      <c r="H80" s="18">
        <f>ABS(LN(2)/H79)</f>
        <v>1227.7619957196316</v>
      </c>
      <c r="I80" s="18">
        <f aca="true" t="shared" si="14" ref="I80:W80">ABS(LN(2)/I79)</f>
        <v>239.09001698317485</v>
      </c>
      <c r="J80" s="18">
        <f t="shared" si="14"/>
        <v>304.75500701532815</v>
      </c>
      <c r="K80" s="18">
        <f t="shared" si="14"/>
        <v>395.70353999808515</v>
      </c>
      <c r="L80" s="18" t="e">
        <f t="shared" si="14"/>
        <v>#DIV/0!</v>
      </c>
      <c r="M80" s="18">
        <f t="shared" si="14"/>
        <v>1392.7961622368696</v>
      </c>
      <c r="N80" s="18">
        <f t="shared" si="14"/>
        <v>558.5651273352537</v>
      </c>
      <c r="O80" s="18" t="e">
        <f t="shared" si="14"/>
        <v>#DIV/0!</v>
      </c>
      <c r="P80" s="18">
        <f t="shared" si="14"/>
        <v>3101.7276897384168</v>
      </c>
      <c r="Q80" s="18">
        <f t="shared" si="14"/>
        <v>19817.50683151598</v>
      </c>
      <c r="R80" s="18">
        <f t="shared" si="14"/>
        <v>114.9584535190228</v>
      </c>
      <c r="S80" s="18">
        <f t="shared" si="14"/>
        <v>171.45621200033284</v>
      </c>
      <c r="T80" s="18" t="e">
        <f t="shared" si="14"/>
        <v>#DIV/0!</v>
      </c>
      <c r="U80" s="18" t="e">
        <f t="shared" si="14"/>
        <v>#DIV/0!</v>
      </c>
      <c r="V80" s="18" t="e">
        <f t="shared" si="14"/>
        <v>#DIV/0!</v>
      </c>
      <c r="W80" s="65" t="e">
        <f t="shared" si="14"/>
        <v>#DIV/0!</v>
      </c>
    </row>
    <row r="81" spans="1:23" s="27" customFormat="1" ht="18">
      <c r="A81" s="74" t="s">
        <v>197</v>
      </c>
      <c r="B81" s="18" t="s">
        <v>221</v>
      </c>
      <c r="C81" s="18"/>
      <c r="D81" s="18"/>
      <c r="E81" s="18"/>
      <c r="F81" s="18"/>
      <c r="G81" s="18" t="s">
        <v>219</v>
      </c>
      <c r="H81" s="18">
        <f>H180</f>
        <v>0.00012104013939870655</v>
      </c>
      <c r="I81" s="18">
        <f aca="true" t="shared" si="15" ref="I81:W81">I180</f>
        <v>0.00039868722441215477</v>
      </c>
      <c r="J81" s="18">
        <f t="shared" si="15"/>
        <v>0.00035232926082087403</v>
      </c>
      <c r="K81" s="18">
        <f t="shared" si="15"/>
        <v>0.0002287745546522042</v>
      </c>
      <c r="L81" s="18" t="e">
        <f t="shared" si="15"/>
        <v>#NUM!</v>
      </c>
      <c r="M81" s="18">
        <f t="shared" si="15"/>
        <v>0.00011182841754585815</v>
      </c>
      <c r="N81" s="18">
        <f t="shared" si="15"/>
        <v>0.00020550477281674546</v>
      </c>
      <c r="O81" s="18" t="e">
        <f t="shared" si="15"/>
        <v>#NUM!</v>
      </c>
      <c r="P81" s="18">
        <f t="shared" si="15"/>
        <v>0.00044245505866163096</v>
      </c>
      <c r="Q81" s="18">
        <f t="shared" si="15"/>
        <v>9.655791312358495E-05</v>
      </c>
      <c r="R81" s="18">
        <f t="shared" si="15"/>
        <v>0.0005842851631624272</v>
      </c>
      <c r="S81" s="18">
        <f t="shared" si="15"/>
        <v>0.0009437462058206374</v>
      </c>
      <c r="T81" s="18" t="e">
        <f t="shared" si="15"/>
        <v>#NUM!</v>
      </c>
      <c r="U81" s="18" t="e">
        <f t="shared" si="15"/>
        <v>#NUM!</v>
      </c>
      <c r="V81" s="18" t="e">
        <f t="shared" si="15"/>
        <v>#NUM!</v>
      </c>
      <c r="W81" s="65" t="e">
        <f t="shared" si="15"/>
        <v>#NUM!</v>
      </c>
    </row>
    <row r="82" spans="1:23" s="27" customFormat="1" ht="18">
      <c r="A82" s="64"/>
      <c r="B82" s="18" t="s">
        <v>222</v>
      </c>
      <c r="C82" s="18"/>
      <c r="D82" s="18"/>
      <c r="E82" s="18"/>
      <c r="F82" s="18"/>
      <c r="G82" s="18" t="s">
        <v>219</v>
      </c>
      <c r="H82" s="18">
        <f aca="true" t="shared" si="16" ref="H82:W82">(H79-H81)</f>
        <v>0.0004435213822777068</v>
      </c>
      <c r="I82" s="18">
        <f t="shared" si="16"/>
        <v>0.0025004182644160267</v>
      </c>
      <c r="J82" s="18">
        <f t="shared" si="16"/>
        <v>0.0019221114033322907</v>
      </c>
      <c r="K82" s="18">
        <f t="shared" si="16"/>
        <v>0.0015229084870595267</v>
      </c>
      <c r="L82" s="18" t="e">
        <f t="shared" si="16"/>
        <v>#DIV/0!</v>
      </c>
      <c r="M82" s="18">
        <f t="shared" si="16"/>
        <v>0.0003858375003776459</v>
      </c>
      <c r="N82" s="18">
        <f t="shared" si="16"/>
        <v>0.0010354376824824997</v>
      </c>
      <c r="O82" s="18" t="e">
        <f t="shared" si="16"/>
        <v>#DIV/0!</v>
      </c>
      <c r="P82" s="18">
        <f t="shared" si="16"/>
        <v>-0.0002189837388378067</v>
      </c>
      <c r="Q82" s="18">
        <f t="shared" si="16"/>
        <v>-6.158140540982823E-05</v>
      </c>
      <c r="R82" s="18">
        <f t="shared" si="16"/>
        <v>0.005445259940671511</v>
      </c>
      <c r="S82" s="18">
        <f t="shared" si="16"/>
        <v>0.0030989605148819036</v>
      </c>
      <c r="T82" s="18" t="e">
        <f t="shared" si="16"/>
        <v>#DIV/0!</v>
      </c>
      <c r="U82" s="18" t="e">
        <f t="shared" si="16"/>
        <v>#DIV/0!</v>
      </c>
      <c r="V82" s="18" t="e">
        <f t="shared" si="16"/>
        <v>#DIV/0!</v>
      </c>
      <c r="W82" s="65" t="e">
        <f t="shared" si="16"/>
        <v>#DIV/0!</v>
      </c>
    </row>
    <row r="83" spans="1:23" s="27" customFormat="1" ht="15">
      <c r="A83" s="64"/>
      <c r="B83" s="18"/>
      <c r="C83" s="18"/>
      <c r="D83" s="18"/>
      <c r="E83" s="18"/>
      <c r="F83" s="18"/>
      <c r="G83" s="18"/>
      <c r="H83" s="18"/>
      <c r="I83" s="18"/>
      <c r="J83" s="18"/>
      <c r="K83" s="18"/>
      <c r="L83" s="18"/>
      <c r="M83" s="18"/>
      <c r="N83" s="18"/>
      <c r="O83" s="18"/>
      <c r="P83" s="18"/>
      <c r="Q83" s="18"/>
      <c r="R83" s="18"/>
      <c r="S83" s="18"/>
      <c r="T83" s="18"/>
      <c r="U83" s="18"/>
      <c r="V83" s="18"/>
      <c r="W83" s="18"/>
    </row>
    <row r="84" spans="1:23" ht="15">
      <c r="A84" s="89"/>
      <c r="B84" s="90" t="s">
        <v>216</v>
      </c>
      <c r="C84" s="91"/>
      <c r="D84" s="91"/>
      <c r="E84" s="91"/>
      <c r="F84" s="90"/>
      <c r="G84" s="90"/>
      <c r="H84" s="97">
        <f aca="true" t="shared" si="17" ref="H84:W84">SigLevel_LinReg</f>
        <v>0.85</v>
      </c>
      <c r="I84" s="97">
        <f t="shared" si="17"/>
        <v>0.85</v>
      </c>
      <c r="J84" s="97">
        <f t="shared" si="17"/>
        <v>0.85</v>
      </c>
      <c r="K84" s="97">
        <f t="shared" si="17"/>
        <v>0.85</v>
      </c>
      <c r="L84" s="97">
        <f t="shared" si="17"/>
        <v>0.85</v>
      </c>
      <c r="M84" s="97">
        <f t="shared" si="17"/>
        <v>0.85</v>
      </c>
      <c r="N84" s="97">
        <f t="shared" si="17"/>
        <v>0.85</v>
      </c>
      <c r="O84" s="97">
        <f t="shared" si="17"/>
        <v>0.85</v>
      </c>
      <c r="P84" s="97">
        <f t="shared" si="17"/>
        <v>0.85</v>
      </c>
      <c r="Q84" s="97">
        <f t="shared" si="17"/>
        <v>0.85</v>
      </c>
      <c r="R84" s="97">
        <f t="shared" si="17"/>
        <v>0.85</v>
      </c>
      <c r="S84" s="97">
        <f t="shared" si="17"/>
        <v>0.85</v>
      </c>
      <c r="T84" s="97">
        <f t="shared" si="17"/>
        <v>0.85</v>
      </c>
      <c r="U84" s="97">
        <f t="shared" si="17"/>
        <v>0.85</v>
      </c>
      <c r="V84" s="97">
        <f t="shared" si="17"/>
        <v>0.85</v>
      </c>
      <c r="W84" s="98">
        <f t="shared" si="17"/>
        <v>0.85</v>
      </c>
    </row>
    <row r="85" spans="3:23" ht="15">
      <c r="C85" s="9"/>
      <c r="D85" s="9"/>
      <c r="E85" s="9"/>
      <c r="H85" s="18"/>
      <c r="I85" s="18"/>
      <c r="J85" s="18"/>
      <c r="K85" s="18"/>
      <c r="L85" s="18"/>
      <c r="M85" s="18"/>
      <c r="N85" s="18"/>
      <c r="O85" s="18"/>
      <c r="P85" s="18"/>
      <c r="Q85" s="18"/>
      <c r="R85" s="18"/>
      <c r="S85" s="18"/>
      <c r="T85" s="18"/>
      <c r="U85" s="18"/>
      <c r="V85" s="18"/>
      <c r="W85" s="18"/>
    </row>
    <row r="86" spans="1:23" ht="15">
      <c r="A86" s="93" t="s">
        <v>191</v>
      </c>
      <c r="B86" s="94" t="s">
        <v>209</v>
      </c>
      <c r="C86" s="95"/>
      <c r="D86" s="95" t="s">
        <v>133</v>
      </c>
      <c r="E86" s="95"/>
      <c r="F86" s="94"/>
      <c r="G86" s="94" t="s">
        <v>19</v>
      </c>
      <c r="H86" s="94">
        <f>EXP(INTERCEPT(H55:H74,$G$55:$G$74))</f>
        <v>7941.844936697054</v>
      </c>
      <c r="I86" s="94">
        <f aca="true" t="shared" si="18" ref="I86:W86">EXP(INTERCEPT(I55:I74,$G$55:$G$74))</f>
        <v>9339.906737168883</v>
      </c>
      <c r="J86" s="94">
        <f t="shared" si="18"/>
        <v>681.0377474022507</v>
      </c>
      <c r="K86" s="94">
        <f t="shared" si="18"/>
        <v>33.23181435189508</v>
      </c>
      <c r="L86" s="94" t="e">
        <f t="shared" si="18"/>
        <v>#DIV/0!</v>
      </c>
      <c r="M86" s="94">
        <f t="shared" si="18"/>
        <v>1793.7068734356374</v>
      </c>
      <c r="N86" s="94">
        <f t="shared" si="18"/>
        <v>3671.9201640936226</v>
      </c>
      <c r="O86" s="94" t="e">
        <f t="shared" si="18"/>
        <v>#DIV/0!</v>
      </c>
      <c r="P86" s="94">
        <f t="shared" si="18"/>
        <v>466.80528252909625</v>
      </c>
      <c r="Q86" s="94">
        <f t="shared" si="18"/>
        <v>496.19855394745485</v>
      </c>
      <c r="R86" s="94">
        <f t="shared" si="18"/>
        <v>1496.4036548464721</v>
      </c>
      <c r="S86" s="94">
        <f t="shared" si="18"/>
        <v>425.8278575423013</v>
      </c>
      <c r="T86" s="94" t="e">
        <f t="shared" si="18"/>
        <v>#DIV/0!</v>
      </c>
      <c r="U86" s="94" t="e">
        <f t="shared" si="18"/>
        <v>#DIV/0!</v>
      </c>
      <c r="V86" s="94" t="e">
        <f t="shared" si="18"/>
        <v>#DIV/0!</v>
      </c>
      <c r="W86" s="96" t="e">
        <f t="shared" si="18"/>
        <v>#DIV/0!</v>
      </c>
    </row>
    <row r="87" spans="3:19" ht="15">
      <c r="C87" s="9"/>
      <c r="D87" s="9"/>
      <c r="E87" s="9"/>
      <c r="H87" s="1"/>
      <c r="I87" s="1"/>
      <c r="J87" s="1"/>
      <c r="K87" s="1"/>
      <c r="L87" s="1"/>
      <c r="N87" s="29"/>
      <c r="O87" s="1"/>
      <c r="P87" s="1"/>
      <c r="Q87" s="1"/>
      <c r="R87" s="1"/>
      <c r="S87" s="1"/>
    </row>
    <row r="88" spans="1:23" ht="18">
      <c r="A88" s="83"/>
      <c r="B88" s="84" t="s">
        <v>283</v>
      </c>
      <c r="C88" s="84"/>
      <c r="D88" s="84" t="s">
        <v>212</v>
      </c>
      <c r="E88" s="84"/>
      <c r="F88" s="85"/>
      <c r="G88" s="84"/>
      <c r="H88" s="84">
        <f>CORREL($G$55:$G$74,H55:H74)^2</f>
        <v>0.6988482520247161</v>
      </c>
      <c r="I88" s="84">
        <f aca="true" t="shared" si="19" ref="I88:W88">CORREL($G$55:$G$74,I55:I74)^2</f>
        <v>0.8621715477131127</v>
      </c>
      <c r="J88" s="84">
        <f t="shared" si="19"/>
        <v>0.8469115891229283</v>
      </c>
      <c r="K88" s="84">
        <f t="shared" si="19"/>
        <v>0.9378204214959404</v>
      </c>
      <c r="L88" s="84" t="e">
        <f t="shared" si="19"/>
        <v>#DIV/0!</v>
      </c>
      <c r="M88" s="84">
        <f t="shared" si="19"/>
        <v>0.6023623698937492</v>
      </c>
      <c r="N88" s="84">
        <f t="shared" si="19"/>
        <v>0.7954799081203102</v>
      </c>
      <c r="O88" s="84" t="e">
        <f t="shared" si="19"/>
        <v>#DIV/0!</v>
      </c>
      <c r="P88" s="84">
        <f t="shared" si="19"/>
        <v>0.05055979550863915</v>
      </c>
      <c r="Q88" s="84">
        <f t="shared" si="19"/>
        <v>0.015285473669744035</v>
      </c>
      <c r="R88" s="84">
        <f t="shared" si="19"/>
        <v>0.9881189717125884</v>
      </c>
      <c r="S88" s="84">
        <f t="shared" si="19"/>
        <v>0.8597071172488959</v>
      </c>
      <c r="T88" s="84" t="e">
        <f t="shared" si="19"/>
        <v>#DIV/0!</v>
      </c>
      <c r="U88" s="84" t="e">
        <f t="shared" si="19"/>
        <v>#DIV/0!</v>
      </c>
      <c r="V88" s="84" t="e">
        <f t="shared" si="19"/>
        <v>#DIV/0!</v>
      </c>
      <c r="W88" s="86" t="e">
        <f t="shared" si="19"/>
        <v>#DIV/0!</v>
      </c>
    </row>
    <row r="89" spans="1:23" ht="15">
      <c r="A89" s="87" t="s">
        <v>223</v>
      </c>
      <c r="B89" s="1" t="s">
        <v>393</v>
      </c>
      <c r="C89" s="15"/>
      <c r="D89" s="15" t="s">
        <v>24</v>
      </c>
      <c r="E89" s="15"/>
      <c r="F89" s="15"/>
      <c r="G89" s="1"/>
      <c r="H89" s="1">
        <f>CORREL($G$55:$G$74,H55:H74)</f>
        <v>-0.8359714421107435</v>
      </c>
      <c r="I89" s="1">
        <f aca="true" t="shared" si="20" ref="I89:W89">CORREL($G$55:$G$74,I55:I74)</f>
        <v>-0.9285319314450703</v>
      </c>
      <c r="J89" s="1">
        <f t="shared" si="20"/>
        <v>-0.9202779955659748</v>
      </c>
      <c r="K89" s="1">
        <f t="shared" si="20"/>
        <v>0.9684112873650019</v>
      </c>
      <c r="L89" s="1" t="e">
        <f t="shared" si="20"/>
        <v>#DIV/0!</v>
      </c>
      <c r="M89" s="1">
        <f t="shared" si="20"/>
        <v>-0.7761200744045661</v>
      </c>
      <c r="N89" s="1">
        <f t="shared" si="20"/>
        <v>-0.89189680351502</v>
      </c>
      <c r="O89" s="1" t="e">
        <f t="shared" si="20"/>
        <v>#DIV/0!</v>
      </c>
      <c r="P89" s="1">
        <f t="shared" si="20"/>
        <v>-0.224855054443166</v>
      </c>
      <c r="Q89" s="1">
        <f t="shared" si="20"/>
        <v>-0.1236344356146136</v>
      </c>
      <c r="R89" s="1">
        <f t="shared" si="20"/>
        <v>-0.9940417353977591</v>
      </c>
      <c r="S89" s="1">
        <f t="shared" si="20"/>
        <v>-0.9272039243062423</v>
      </c>
      <c r="T89" s="1" t="e">
        <f t="shared" si="20"/>
        <v>#DIV/0!</v>
      </c>
      <c r="U89" s="1" t="e">
        <f t="shared" si="20"/>
        <v>#DIV/0!</v>
      </c>
      <c r="V89" s="1" t="e">
        <f t="shared" si="20"/>
        <v>#DIV/0!</v>
      </c>
      <c r="W89" s="88" t="e">
        <f t="shared" si="20"/>
        <v>#DIV/0!</v>
      </c>
    </row>
    <row r="90" spans="1:23" ht="15">
      <c r="A90" s="89"/>
      <c r="B90" s="90" t="s">
        <v>394</v>
      </c>
      <c r="C90" s="90"/>
      <c r="D90" s="90" t="s">
        <v>20</v>
      </c>
      <c r="E90" s="90"/>
      <c r="F90" s="91"/>
      <c r="G90" s="90"/>
      <c r="H90" s="90">
        <f>COUNT(H55:H74)</f>
        <v>13</v>
      </c>
      <c r="I90" s="90">
        <f aca="true" t="shared" si="21" ref="I90:W90">COUNT(I55:I74)</f>
        <v>12</v>
      </c>
      <c r="J90" s="90">
        <f t="shared" si="21"/>
        <v>11</v>
      </c>
      <c r="K90" s="90">
        <f t="shared" si="21"/>
        <v>7</v>
      </c>
      <c r="L90" s="90">
        <f t="shared" si="21"/>
        <v>0</v>
      </c>
      <c r="M90" s="90">
        <f t="shared" si="21"/>
        <v>17</v>
      </c>
      <c r="N90" s="90">
        <f t="shared" si="21"/>
        <v>13</v>
      </c>
      <c r="O90" s="90">
        <f t="shared" si="21"/>
        <v>0</v>
      </c>
      <c r="P90" s="90">
        <f t="shared" si="21"/>
        <v>8</v>
      </c>
      <c r="Q90" s="90">
        <f t="shared" si="21"/>
        <v>12</v>
      </c>
      <c r="R90" s="90">
        <f t="shared" si="21"/>
        <v>4</v>
      </c>
      <c r="S90" s="90">
        <f t="shared" si="21"/>
        <v>6</v>
      </c>
      <c r="T90" s="90">
        <f t="shared" si="21"/>
        <v>0</v>
      </c>
      <c r="U90" s="90">
        <f t="shared" si="21"/>
        <v>0</v>
      </c>
      <c r="V90" s="90">
        <f t="shared" si="21"/>
        <v>0</v>
      </c>
      <c r="W90" s="92">
        <f t="shared" si="21"/>
        <v>0</v>
      </c>
    </row>
    <row r="91" spans="6:23" ht="15">
      <c r="F91" s="9"/>
      <c r="H91" s="1"/>
      <c r="I91" s="1"/>
      <c r="J91" s="1"/>
      <c r="K91" s="1"/>
      <c r="L91" s="1"/>
      <c r="M91" s="1"/>
      <c r="N91" s="1"/>
      <c r="O91" s="1"/>
      <c r="P91" s="1"/>
      <c r="Q91" s="1"/>
      <c r="R91" s="1"/>
      <c r="S91" s="1"/>
      <c r="T91" s="1"/>
      <c r="U91" s="1"/>
      <c r="V91" s="1"/>
      <c r="W91" s="1"/>
    </row>
    <row r="92" spans="6:19" s="38" customFormat="1" ht="15">
      <c r="F92" s="37"/>
      <c r="H92" s="28"/>
      <c r="I92" s="28"/>
      <c r="J92" s="28"/>
      <c r="K92" s="28"/>
      <c r="L92" s="28"/>
      <c r="M92" s="28"/>
      <c r="N92" s="28"/>
      <c r="O92" s="28"/>
      <c r="P92" s="28"/>
      <c r="Q92" s="28"/>
      <c r="R92" s="28"/>
      <c r="S92" s="28"/>
    </row>
    <row r="93" spans="1:19" ht="17.25">
      <c r="A93" s="22" t="s">
        <v>227</v>
      </c>
      <c r="F93" s="9"/>
      <c r="H93" s="1"/>
      <c r="I93" s="1"/>
      <c r="J93" s="1"/>
      <c r="K93" s="1"/>
      <c r="L93" s="1"/>
      <c r="M93" s="1"/>
      <c r="N93" s="1"/>
      <c r="O93" s="1"/>
      <c r="P93" s="1"/>
      <c r="Q93" s="1"/>
      <c r="R93" s="1"/>
      <c r="S93" s="1"/>
    </row>
    <row r="94" spans="2:19" ht="17.25">
      <c r="B94" s="22" t="s">
        <v>226</v>
      </c>
      <c r="F94" s="9"/>
      <c r="H94" s="1"/>
      <c r="I94" s="1"/>
      <c r="J94" s="1"/>
      <c r="K94" s="1"/>
      <c r="L94" s="1"/>
      <c r="M94" s="1"/>
      <c r="N94" s="1"/>
      <c r="O94" s="1"/>
      <c r="P94" s="1"/>
      <c r="Q94" s="1"/>
      <c r="R94" s="1"/>
      <c r="S94" s="1"/>
    </row>
    <row r="95" spans="2:23" ht="18">
      <c r="B95" s="5" t="s">
        <v>225</v>
      </c>
      <c r="F95" s="9"/>
      <c r="H95" s="1">
        <f>ABS(H89)/SQRT((1-H88)/(H90-2))</f>
        <v>5.05236932916262</v>
      </c>
      <c r="I95" s="1">
        <f aca="true" t="shared" si="22" ref="I95:W95">ABS(I89)/SQRT((1-I88)/(I90-2))</f>
        <v>7.909106137725659</v>
      </c>
      <c r="J95" s="1">
        <f t="shared" si="22"/>
        <v>7.056171620089787</v>
      </c>
      <c r="K95" s="1">
        <f t="shared" si="22"/>
        <v>8.6840228598575</v>
      </c>
      <c r="L95" s="1" t="e">
        <f t="shared" si="22"/>
        <v>#DIV/0!</v>
      </c>
      <c r="M95" s="1">
        <f t="shared" si="22"/>
        <v>4.766842555233186</v>
      </c>
      <c r="N95" s="1">
        <f t="shared" si="22"/>
        <v>6.540982097052779</v>
      </c>
      <c r="O95" s="1" t="e">
        <f t="shared" si="22"/>
        <v>#DIV/0!</v>
      </c>
      <c r="P95" s="1">
        <f t="shared" si="22"/>
        <v>0.5652550753162318</v>
      </c>
      <c r="Q95" s="1">
        <f t="shared" si="22"/>
        <v>0.3939891648007118</v>
      </c>
      <c r="R95" s="1">
        <f t="shared" si="22"/>
        <v>12.897115873867158</v>
      </c>
      <c r="S95" s="1">
        <f t="shared" si="22"/>
        <v>4.95093742280553</v>
      </c>
      <c r="T95" s="1" t="e">
        <f t="shared" si="22"/>
        <v>#DIV/0!</v>
      </c>
      <c r="U95" s="1" t="e">
        <f t="shared" si="22"/>
        <v>#DIV/0!</v>
      </c>
      <c r="V95" s="1" t="e">
        <f t="shared" si="22"/>
        <v>#DIV/0!</v>
      </c>
      <c r="W95" s="1" t="e">
        <f t="shared" si="22"/>
        <v>#DIV/0!</v>
      </c>
    </row>
    <row r="96" spans="2:23" s="175" customFormat="1" ht="15">
      <c r="B96" s="175" t="s">
        <v>228</v>
      </c>
      <c r="H96" s="176">
        <f>1-TDIST(H95,H90-2,2)</f>
        <v>0.9996293056539493</v>
      </c>
      <c r="I96" s="176">
        <f aca="true" t="shared" si="23" ref="I96:W96">1-TDIST(I95,I90-2,2)</f>
        <v>0.9999869873715387</v>
      </c>
      <c r="J96" s="176">
        <f t="shared" si="23"/>
        <v>0.9999405447035308</v>
      </c>
      <c r="K96" s="176">
        <f t="shared" si="23"/>
        <v>0.9996651159898657</v>
      </c>
      <c r="L96" s="176" t="e">
        <f t="shared" si="23"/>
        <v>#DIV/0!</v>
      </c>
      <c r="M96" s="176">
        <f t="shared" si="23"/>
        <v>0.9997503832715733</v>
      </c>
      <c r="N96" s="176">
        <f t="shared" si="23"/>
        <v>0.9999581337402444</v>
      </c>
      <c r="O96" s="176" t="e">
        <f t="shared" si="23"/>
        <v>#DIV/0!</v>
      </c>
      <c r="P96" s="176">
        <f t="shared" si="23"/>
        <v>0.40760799335322595</v>
      </c>
      <c r="Q96" s="176">
        <f t="shared" si="23"/>
        <v>0.29814036364919927</v>
      </c>
      <c r="R96" s="176">
        <f t="shared" si="23"/>
        <v>0.9940417353982837</v>
      </c>
      <c r="S96" s="176">
        <f t="shared" si="23"/>
        <v>0.9922439800264318</v>
      </c>
      <c r="T96" s="176" t="e">
        <f t="shared" si="23"/>
        <v>#DIV/0!</v>
      </c>
      <c r="U96" s="176" t="e">
        <f t="shared" si="23"/>
        <v>#DIV/0!</v>
      </c>
      <c r="V96" s="176" t="e">
        <f t="shared" si="23"/>
        <v>#DIV/0!</v>
      </c>
      <c r="W96" s="176" t="e">
        <f t="shared" si="23"/>
        <v>#DIV/0!</v>
      </c>
    </row>
    <row r="97" spans="2:23" s="81" customFormat="1" ht="24" customHeight="1">
      <c r="B97" s="81" t="s">
        <v>224</v>
      </c>
      <c r="H97" s="80">
        <f aca="true" t="shared" si="24" ref="H97:W97">SigLevel_LinReg</f>
        <v>0.85</v>
      </c>
      <c r="I97" s="80">
        <f t="shared" si="24"/>
        <v>0.85</v>
      </c>
      <c r="J97" s="80">
        <f t="shared" si="24"/>
        <v>0.85</v>
      </c>
      <c r="K97" s="80">
        <f t="shared" si="24"/>
        <v>0.85</v>
      </c>
      <c r="L97" s="80">
        <f t="shared" si="24"/>
        <v>0.85</v>
      </c>
      <c r="M97" s="80">
        <f t="shared" si="24"/>
        <v>0.85</v>
      </c>
      <c r="N97" s="80">
        <f t="shared" si="24"/>
        <v>0.85</v>
      </c>
      <c r="O97" s="80">
        <f t="shared" si="24"/>
        <v>0.85</v>
      </c>
      <c r="P97" s="80">
        <f t="shared" si="24"/>
        <v>0.85</v>
      </c>
      <c r="Q97" s="80">
        <f t="shared" si="24"/>
        <v>0.85</v>
      </c>
      <c r="R97" s="80">
        <f t="shared" si="24"/>
        <v>0.85</v>
      </c>
      <c r="S97" s="80">
        <f t="shared" si="24"/>
        <v>0.85</v>
      </c>
      <c r="T97" s="80">
        <f t="shared" si="24"/>
        <v>0.85</v>
      </c>
      <c r="U97" s="80">
        <f t="shared" si="24"/>
        <v>0.85</v>
      </c>
      <c r="V97" s="80">
        <f t="shared" si="24"/>
        <v>0.85</v>
      </c>
      <c r="W97" s="80">
        <f t="shared" si="24"/>
        <v>0.85</v>
      </c>
    </row>
    <row r="98" spans="2:23" ht="52.5" customHeight="1">
      <c r="B98" s="1152" t="s">
        <v>154</v>
      </c>
      <c r="C98" s="1152"/>
      <c r="D98" s="1152"/>
      <c r="F98" s="9"/>
      <c r="H98" s="19" t="str">
        <f aca="true" t="shared" si="25" ref="H98:W98">IF(H96&gt;SigLevel_LinReg,"YES!","NO!")</f>
        <v>YES!</v>
      </c>
      <c r="I98" s="19" t="str">
        <f t="shared" si="25"/>
        <v>YES!</v>
      </c>
      <c r="J98" s="19" t="str">
        <f t="shared" si="25"/>
        <v>YES!</v>
      </c>
      <c r="K98" s="19" t="str">
        <f t="shared" si="25"/>
        <v>YES!</v>
      </c>
      <c r="L98" s="19" t="e">
        <f t="shared" si="25"/>
        <v>#DIV/0!</v>
      </c>
      <c r="M98" s="19" t="str">
        <f t="shared" si="25"/>
        <v>YES!</v>
      </c>
      <c r="N98" s="19" t="str">
        <f t="shared" si="25"/>
        <v>YES!</v>
      </c>
      <c r="O98" s="19" t="e">
        <f t="shared" si="25"/>
        <v>#DIV/0!</v>
      </c>
      <c r="P98" s="19" t="str">
        <f t="shared" si="25"/>
        <v>NO!</v>
      </c>
      <c r="Q98" s="19" t="str">
        <f t="shared" si="25"/>
        <v>NO!</v>
      </c>
      <c r="R98" s="19" t="str">
        <f t="shared" si="25"/>
        <v>YES!</v>
      </c>
      <c r="S98" s="19" t="str">
        <f t="shared" si="25"/>
        <v>YES!</v>
      </c>
      <c r="T98" s="19" t="e">
        <f t="shared" si="25"/>
        <v>#DIV/0!</v>
      </c>
      <c r="U98" s="19" t="e">
        <f t="shared" si="25"/>
        <v>#DIV/0!</v>
      </c>
      <c r="V98" s="19" t="e">
        <f t="shared" si="25"/>
        <v>#DIV/0!</v>
      </c>
      <c r="W98" s="19" t="e">
        <f t="shared" si="25"/>
        <v>#DIV/0!</v>
      </c>
    </row>
    <row r="99" spans="2:23" ht="30.75" customHeight="1">
      <c r="B99" s="12" t="s">
        <v>107</v>
      </c>
      <c r="F99" s="9"/>
      <c r="H99" s="19" t="str">
        <f>IF(AND(H89&lt;0,H98="YES!"),"Shrinking",IF(AND(H98="YES!",H89&gt;0),"Expanding",IF(AND(H98="NO!",H41&lt;1),"Stable",IF(AND(H98="NO!",H41&gt;1),"UD","N/A"))))</f>
        <v>Shrinking</v>
      </c>
      <c r="I99" s="19" t="str">
        <f aca="true" t="shared" si="26" ref="I99:W99">IF(AND(I89&lt;0,I98="YES!"),"Shrinking",IF(AND(I98="YES!",I89&gt;0),"Expanding",IF(AND(I98="NO!",I41&lt;1),"Stable",IF(AND(I98="NO!",I41&gt;1),"UD","N/A"))))</f>
        <v>Shrinking</v>
      </c>
      <c r="J99" s="19" t="str">
        <f t="shared" si="26"/>
        <v>Shrinking</v>
      </c>
      <c r="K99" s="19" t="str">
        <f t="shared" si="26"/>
        <v>Expanding</v>
      </c>
      <c r="L99" s="19" t="e">
        <f t="shared" si="26"/>
        <v>#DIV/0!</v>
      </c>
      <c r="M99" s="19" t="str">
        <f t="shared" si="26"/>
        <v>Shrinking</v>
      </c>
      <c r="N99" s="19" t="str">
        <f t="shared" si="26"/>
        <v>Shrinking</v>
      </c>
      <c r="O99" s="19" t="e">
        <f t="shared" si="26"/>
        <v>#DIV/0!</v>
      </c>
      <c r="P99" s="19" t="str">
        <f t="shared" si="26"/>
        <v>Stable</v>
      </c>
      <c r="Q99" s="19" t="str">
        <f t="shared" si="26"/>
        <v>Stable</v>
      </c>
      <c r="R99" s="19" t="str">
        <f t="shared" si="26"/>
        <v>Shrinking</v>
      </c>
      <c r="S99" s="19" t="str">
        <f t="shared" si="26"/>
        <v>Shrinking</v>
      </c>
      <c r="T99" s="19" t="e">
        <f t="shared" si="26"/>
        <v>#DIV/0!</v>
      </c>
      <c r="U99" s="19" t="e">
        <f t="shared" si="26"/>
        <v>#DIV/0!</v>
      </c>
      <c r="V99" s="19" t="e">
        <f t="shared" si="26"/>
        <v>#DIV/0!</v>
      </c>
      <c r="W99" s="19" t="e">
        <f t="shared" si="26"/>
        <v>#DIV/0!</v>
      </c>
    </row>
    <row r="100" spans="6:19" ht="15" hidden="1">
      <c r="F100" s="9"/>
      <c r="H100" s="19"/>
      <c r="I100" s="19"/>
      <c r="J100" s="1"/>
      <c r="K100" s="1"/>
      <c r="L100" s="1"/>
      <c r="M100" s="1"/>
      <c r="N100" s="1"/>
      <c r="O100" s="1"/>
      <c r="P100" s="1"/>
      <c r="Q100" s="1"/>
      <c r="R100" s="1"/>
      <c r="S100" s="1"/>
    </row>
    <row r="101" spans="6:19" ht="15" hidden="1">
      <c r="F101" s="9"/>
      <c r="H101" s="1"/>
      <c r="I101" s="1"/>
      <c r="J101" s="1"/>
      <c r="K101" s="1"/>
      <c r="L101" s="1"/>
      <c r="M101" s="1"/>
      <c r="N101" s="1"/>
      <c r="O101" s="1"/>
      <c r="P101" s="1"/>
      <c r="Q101" s="1"/>
      <c r="R101" s="1"/>
      <c r="S101" s="1"/>
    </row>
    <row r="102" spans="6:19" s="38" customFormat="1" ht="15">
      <c r="F102" s="37"/>
      <c r="H102" s="28"/>
      <c r="I102" s="28"/>
      <c r="J102" s="28"/>
      <c r="K102" s="28"/>
      <c r="L102" s="28"/>
      <c r="M102" s="28"/>
      <c r="N102" s="28"/>
      <c r="O102" s="28"/>
      <c r="P102" s="28"/>
      <c r="Q102" s="28"/>
      <c r="R102" s="28"/>
      <c r="S102" s="28"/>
    </row>
    <row r="103" spans="1:19" ht="17.25">
      <c r="A103" s="22" t="s">
        <v>136</v>
      </c>
      <c r="F103" s="9"/>
      <c r="H103" s="1"/>
      <c r="I103" s="1"/>
      <c r="J103" s="1"/>
      <c r="K103" s="1"/>
      <c r="L103" s="1"/>
      <c r="M103" s="1"/>
      <c r="N103" s="1"/>
      <c r="O103" s="1"/>
      <c r="P103" s="1"/>
      <c r="Q103" s="1"/>
      <c r="R103" s="1"/>
      <c r="S103" s="1"/>
    </row>
    <row r="104" spans="1:19" ht="17.25">
      <c r="A104" s="22" t="s">
        <v>213</v>
      </c>
      <c r="F104" s="9"/>
      <c r="H104" s="1"/>
      <c r="I104" s="1"/>
      <c r="J104" s="1"/>
      <c r="K104" s="1"/>
      <c r="L104" s="1"/>
      <c r="M104" s="1"/>
      <c r="N104" s="1"/>
      <c r="O104" s="1"/>
      <c r="P104" s="1"/>
      <c r="Q104" s="1"/>
      <c r="R104" s="1"/>
      <c r="S104" s="1"/>
    </row>
    <row r="105" spans="1:23" s="1" customFormat="1" ht="15">
      <c r="A105" s="99" t="s">
        <v>199</v>
      </c>
      <c r="B105" s="1" t="s">
        <v>21</v>
      </c>
      <c r="F105" s="15"/>
      <c r="H105" s="1">
        <f>Temporal_Analysis!G11</f>
        <v>50</v>
      </c>
      <c r="I105" s="1">
        <f>Temporal_Analysis!H11</f>
        <v>5</v>
      </c>
      <c r="J105" s="1">
        <f>Temporal_Analysis!I11</f>
        <v>5</v>
      </c>
      <c r="K105" s="1">
        <f>Temporal_Analysis!J11</f>
        <v>5</v>
      </c>
      <c r="L105" s="1">
        <f>Temporal_Analysis!K11</f>
        <v>5</v>
      </c>
      <c r="M105" s="1">
        <f>Temporal_Analysis!L11</f>
        <v>0</v>
      </c>
      <c r="N105" s="1">
        <f>Temporal_Analysis!M11</f>
        <v>40</v>
      </c>
      <c r="O105" s="1">
        <f>Temporal_Analysis!N11</f>
        <v>0</v>
      </c>
      <c r="P105" s="1">
        <f>Temporal_Analysis!O11</f>
        <v>56</v>
      </c>
      <c r="Q105" s="1">
        <f>Temporal_Analysis!P11</f>
        <v>50</v>
      </c>
      <c r="R105" s="1">
        <f>Temporal_Analysis!Q11</f>
        <v>1</v>
      </c>
      <c r="S105" s="1">
        <f>Temporal_Analysis!R11</f>
        <v>1</v>
      </c>
      <c r="T105" s="1">
        <f>Temporal_Analysis!S11</f>
        <v>0</v>
      </c>
      <c r="U105" s="1">
        <f>Temporal_Analysis!T11</f>
        <v>0</v>
      </c>
      <c r="V105" s="1">
        <f>Temporal_Analysis!U11</f>
        <v>0</v>
      </c>
      <c r="W105" s="1">
        <f>Temporal_Analysis!V11</f>
        <v>0</v>
      </c>
    </row>
    <row r="106" spans="2:23" s="1" customFormat="1" ht="15">
      <c r="B106" s="1" t="s">
        <v>155</v>
      </c>
      <c r="F106" s="15"/>
      <c r="G106" s="1" t="s">
        <v>6</v>
      </c>
      <c r="H106" s="18">
        <f>LN(H105/H86)/(-H79)</f>
        <v>8976.661864164262</v>
      </c>
      <c r="I106" s="18">
        <f aca="true" t="shared" si="27" ref="I106:N106">LN(I105/I86)/(-I79)</f>
        <v>2598.2544141468247</v>
      </c>
      <c r="J106" s="18">
        <f t="shared" si="27"/>
        <v>2160.6102542054323</v>
      </c>
      <c r="K106" s="18">
        <f t="shared" si="27"/>
        <v>1081.2856682150098</v>
      </c>
      <c r="L106" s="18" t="e">
        <f t="shared" si="27"/>
        <v>#DIV/0!</v>
      </c>
      <c r="M106" s="18" t="e">
        <f t="shared" si="27"/>
        <v>#NUM!</v>
      </c>
      <c r="N106" s="18">
        <f t="shared" si="27"/>
        <v>3642.062962940251</v>
      </c>
      <c r="O106" s="18" t="e">
        <f aca="true" t="shared" si="28" ref="O106:W106">LN(O105/O86)/(-O79)</f>
        <v>#DIV/0!</v>
      </c>
      <c r="P106" s="18">
        <f t="shared" si="28"/>
        <v>9489.184239646114</v>
      </c>
      <c r="Q106" s="18">
        <f t="shared" si="28"/>
        <v>65614.13078611209</v>
      </c>
      <c r="R106" s="18">
        <f t="shared" si="28"/>
        <v>1212.4994206028075</v>
      </c>
      <c r="S106" s="18">
        <f t="shared" si="28"/>
        <v>1497.520248828373</v>
      </c>
      <c r="T106" s="18" t="e">
        <f t="shared" si="28"/>
        <v>#DIV/0!</v>
      </c>
      <c r="U106" s="18" t="e">
        <f t="shared" si="28"/>
        <v>#DIV/0!</v>
      </c>
      <c r="V106" s="18" t="e">
        <f t="shared" si="28"/>
        <v>#DIV/0!</v>
      </c>
      <c r="W106" s="18" t="e">
        <f t="shared" si="28"/>
        <v>#DIV/0!</v>
      </c>
    </row>
    <row r="107" spans="6:23" s="1" customFormat="1" ht="15">
      <c r="F107" s="15"/>
      <c r="H107" s="18"/>
      <c r="I107" s="18"/>
      <c r="J107" s="18"/>
      <c r="K107" s="18"/>
      <c r="L107" s="18"/>
      <c r="M107" s="18"/>
      <c r="N107" s="18"/>
      <c r="O107" s="18"/>
      <c r="P107" s="18"/>
      <c r="Q107" s="18"/>
      <c r="R107" s="18"/>
      <c r="S107" s="18"/>
      <c r="T107" s="18"/>
      <c r="U107" s="18"/>
      <c r="V107" s="18"/>
      <c r="W107" s="18"/>
    </row>
    <row r="108" spans="6:23" s="1" customFormat="1" ht="15">
      <c r="F108" s="15"/>
      <c r="G108" s="26" t="s">
        <v>134</v>
      </c>
      <c r="H108" s="1">
        <f>IF(H89&lt;0,IF(H98="yes!",H106/365,"NA"),"NA")</f>
        <v>24.593594148395237</v>
      </c>
      <c r="I108" s="1">
        <f aca="true" t="shared" si="29" ref="I108:W108">IF(I89&lt;0,IF(I98="yes!",I106/365,"NA"),"NA")</f>
        <v>7.118505244237876</v>
      </c>
      <c r="J108" s="1">
        <f t="shared" si="29"/>
        <v>5.9194801485080335</v>
      </c>
      <c r="K108" s="1" t="str">
        <f t="shared" si="29"/>
        <v>NA</v>
      </c>
      <c r="L108" s="1" t="e">
        <f t="shared" si="29"/>
        <v>#DIV/0!</v>
      </c>
      <c r="M108" s="1" t="e">
        <f t="shared" si="29"/>
        <v>#NUM!</v>
      </c>
      <c r="N108" s="1">
        <f t="shared" si="29"/>
        <v>9.978254692986988</v>
      </c>
      <c r="O108" s="1" t="e">
        <f t="shared" si="29"/>
        <v>#DIV/0!</v>
      </c>
      <c r="P108" s="1" t="str">
        <f t="shared" si="29"/>
        <v>NA</v>
      </c>
      <c r="Q108" s="1" t="str">
        <f t="shared" si="29"/>
        <v>NA</v>
      </c>
      <c r="R108" s="1">
        <f t="shared" si="29"/>
        <v>3.3219162208296096</v>
      </c>
      <c r="S108" s="1">
        <f t="shared" si="29"/>
        <v>4.102795202269515</v>
      </c>
      <c r="T108" s="1" t="e">
        <f t="shared" si="29"/>
        <v>#DIV/0!</v>
      </c>
      <c r="U108" s="1" t="e">
        <f t="shared" si="29"/>
        <v>#DIV/0!</v>
      </c>
      <c r="V108" s="1" t="e">
        <f t="shared" si="29"/>
        <v>#DIV/0!</v>
      </c>
      <c r="W108" s="1" t="e">
        <f t="shared" si="29"/>
        <v>#DIV/0!</v>
      </c>
    </row>
    <row r="109" spans="2:23" s="1" customFormat="1" ht="15">
      <c r="B109" s="1" t="s">
        <v>108</v>
      </c>
      <c r="F109" s="15"/>
      <c r="H109" s="15">
        <f>IF(H89&lt;0,IF(H98="yes!",$F$55+H106,"NA"),"NA")</f>
        <v>43016.66186416426</v>
      </c>
      <c r="I109" s="15">
        <f aca="true" t="shared" si="30" ref="I109:W109">IF(I89&lt;0,IF(I98="yes!",$F$55+I106,"NA"),"NA")</f>
        <v>36638.254414146824</v>
      </c>
      <c r="J109" s="15">
        <f t="shared" si="30"/>
        <v>36200.61025420543</v>
      </c>
      <c r="K109" s="15" t="str">
        <f t="shared" si="30"/>
        <v>NA</v>
      </c>
      <c r="L109" s="15" t="e">
        <f t="shared" si="30"/>
        <v>#DIV/0!</v>
      </c>
      <c r="M109" s="15" t="e">
        <f t="shared" si="30"/>
        <v>#NUM!</v>
      </c>
      <c r="N109" s="15">
        <f t="shared" si="30"/>
        <v>37682.062962940254</v>
      </c>
      <c r="O109" s="15" t="e">
        <f t="shared" si="30"/>
        <v>#DIV/0!</v>
      </c>
      <c r="P109" s="15" t="str">
        <f t="shared" si="30"/>
        <v>NA</v>
      </c>
      <c r="Q109" s="15" t="str">
        <f t="shared" si="30"/>
        <v>NA</v>
      </c>
      <c r="R109" s="15">
        <f t="shared" si="30"/>
        <v>35252.499420602806</v>
      </c>
      <c r="S109" s="15">
        <f t="shared" si="30"/>
        <v>35537.520248828376</v>
      </c>
      <c r="T109" s="15" t="e">
        <f t="shared" si="30"/>
        <v>#DIV/0!</v>
      </c>
      <c r="U109" s="15" t="e">
        <f t="shared" si="30"/>
        <v>#DIV/0!</v>
      </c>
      <c r="V109" s="15" t="e">
        <f t="shared" si="30"/>
        <v>#DIV/0!</v>
      </c>
      <c r="W109" s="15" t="e">
        <f t="shared" si="30"/>
        <v>#DIV/0!</v>
      </c>
    </row>
    <row r="110" spans="6:23" s="1" customFormat="1" ht="15">
      <c r="F110" s="15"/>
      <c r="H110" s="15"/>
      <c r="I110" s="15"/>
      <c r="J110" s="15"/>
      <c r="K110" s="15"/>
      <c r="L110" s="15"/>
      <c r="M110" s="15"/>
      <c r="N110" s="15"/>
      <c r="O110" s="15"/>
      <c r="P110" s="15"/>
      <c r="Q110" s="15"/>
      <c r="R110" s="15"/>
      <c r="S110" s="15"/>
      <c r="T110" s="15"/>
      <c r="U110" s="15"/>
      <c r="V110" s="15"/>
      <c r="W110" s="15"/>
    </row>
    <row r="111" spans="1:23" s="13" customFormat="1" ht="15">
      <c r="A111" s="100" t="s">
        <v>201</v>
      </c>
      <c r="B111" s="13" t="s">
        <v>155</v>
      </c>
      <c r="G111" s="13" t="s">
        <v>6</v>
      </c>
      <c r="H111" s="18">
        <f>LN(H105/H86)/(-H82)</f>
        <v>11426.456725899181</v>
      </c>
      <c r="I111" s="18">
        <f aca="true" t="shared" si="31" ref="I111:W111">LN(I105/I86)/(-I82)</f>
        <v>3012.541437815946</v>
      </c>
      <c r="J111" s="18">
        <f t="shared" si="31"/>
        <v>2556.6571287343786</v>
      </c>
      <c r="K111" s="18">
        <f t="shared" si="31"/>
        <v>1243.7187029637555</v>
      </c>
      <c r="L111" s="18" t="e">
        <f t="shared" si="31"/>
        <v>#DIV/0!</v>
      </c>
      <c r="M111" s="18" t="e">
        <f t="shared" si="31"/>
        <v>#NUM!</v>
      </c>
      <c r="N111" s="18">
        <f t="shared" si="31"/>
        <v>4364.908320459842</v>
      </c>
      <c r="O111" s="18" t="e">
        <f t="shared" si="31"/>
        <v>#DIV/0!</v>
      </c>
      <c r="P111" s="18">
        <f t="shared" si="31"/>
        <v>-9683.64380542325</v>
      </c>
      <c r="Q111" s="18">
        <f t="shared" si="31"/>
        <v>-37266.982399944114</v>
      </c>
      <c r="R111" s="18">
        <f t="shared" si="31"/>
        <v>1342.6025615951721</v>
      </c>
      <c r="S111" s="18">
        <f t="shared" si="31"/>
        <v>1953.569638997906</v>
      </c>
      <c r="T111" s="18" t="e">
        <f t="shared" si="31"/>
        <v>#DIV/0!</v>
      </c>
      <c r="U111" s="18" t="e">
        <f t="shared" si="31"/>
        <v>#DIV/0!</v>
      </c>
      <c r="V111" s="18" t="e">
        <f t="shared" si="31"/>
        <v>#DIV/0!</v>
      </c>
      <c r="W111" s="18" t="e">
        <f t="shared" si="31"/>
        <v>#DIV/0!</v>
      </c>
    </row>
    <row r="112" spans="7:23" s="13" customFormat="1" ht="15">
      <c r="G112" s="57" t="s">
        <v>134</v>
      </c>
      <c r="H112" s="13">
        <f>IF(H89&lt;0,IF(H98="yes!",H111/365,"NA"),"NA")</f>
        <v>31.305360892874468</v>
      </c>
      <c r="I112" s="13">
        <f aca="true" t="shared" si="32" ref="I112:W112">IF(I89&lt;0,IF(I98="yes!",I111/365,"NA"),"NA")</f>
        <v>8.253538185797114</v>
      </c>
      <c r="J112" s="13">
        <f t="shared" si="32"/>
        <v>7.004540078724325</v>
      </c>
      <c r="K112" s="13" t="str">
        <f t="shared" si="32"/>
        <v>NA</v>
      </c>
      <c r="L112" s="13" t="e">
        <f t="shared" si="32"/>
        <v>#DIV/0!</v>
      </c>
      <c r="M112" s="13" t="e">
        <f t="shared" si="32"/>
        <v>#NUM!</v>
      </c>
      <c r="N112" s="13">
        <f t="shared" si="32"/>
        <v>11.95865293276669</v>
      </c>
      <c r="O112" s="13" t="e">
        <f t="shared" si="32"/>
        <v>#DIV/0!</v>
      </c>
      <c r="P112" s="13" t="str">
        <f t="shared" si="32"/>
        <v>NA</v>
      </c>
      <c r="Q112" s="13" t="str">
        <f t="shared" si="32"/>
        <v>NA</v>
      </c>
      <c r="R112" s="13">
        <f t="shared" si="32"/>
        <v>3.6783631824525265</v>
      </c>
      <c r="S112" s="13">
        <f t="shared" si="32"/>
        <v>5.352245586295632</v>
      </c>
      <c r="T112" s="13" t="e">
        <f t="shared" si="32"/>
        <v>#DIV/0!</v>
      </c>
      <c r="U112" s="13" t="e">
        <f t="shared" si="32"/>
        <v>#DIV/0!</v>
      </c>
      <c r="V112" s="13" t="e">
        <f t="shared" si="32"/>
        <v>#DIV/0!</v>
      </c>
      <c r="W112" s="13" t="e">
        <f t="shared" si="32"/>
        <v>#DIV/0!</v>
      </c>
    </row>
    <row r="113" spans="2:23" s="13" customFormat="1" ht="15">
      <c r="B113" s="13" t="s">
        <v>108</v>
      </c>
      <c r="H113" s="15">
        <f>IF(H89&lt;0,IF(H98="yes!",$F$55+H111,"NA"),"NA")</f>
        <v>45466.45672589918</v>
      </c>
      <c r="I113" s="15">
        <f aca="true" t="shared" si="33" ref="I113:W113">IF(I89&lt;0,IF(I98="yes!",$F$55+I111,"NA"),"NA")</f>
        <v>37052.54143781595</v>
      </c>
      <c r="J113" s="15">
        <f t="shared" si="33"/>
        <v>36596.657128734376</v>
      </c>
      <c r="K113" s="15" t="str">
        <f t="shared" si="33"/>
        <v>NA</v>
      </c>
      <c r="L113" s="15" t="e">
        <f t="shared" si="33"/>
        <v>#DIV/0!</v>
      </c>
      <c r="M113" s="15" t="e">
        <f t="shared" si="33"/>
        <v>#NUM!</v>
      </c>
      <c r="N113" s="15">
        <f t="shared" si="33"/>
        <v>38404.90832045984</v>
      </c>
      <c r="O113" s="15" t="e">
        <f t="shared" si="33"/>
        <v>#DIV/0!</v>
      </c>
      <c r="P113" s="15" t="str">
        <f t="shared" si="33"/>
        <v>NA</v>
      </c>
      <c r="Q113" s="15" t="str">
        <f t="shared" si="33"/>
        <v>NA</v>
      </c>
      <c r="R113" s="15">
        <f t="shared" si="33"/>
        <v>35382.60256159517</v>
      </c>
      <c r="S113" s="15">
        <f t="shared" si="33"/>
        <v>35993.569638997906</v>
      </c>
      <c r="T113" s="15" t="e">
        <f t="shared" si="33"/>
        <v>#DIV/0!</v>
      </c>
      <c r="U113" s="15" t="e">
        <f t="shared" si="33"/>
        <v>#DIV/0!</v>
      </c>
      <c r="V113" s="15" t="e">
        <f t="shared" si="33"/>
        <v>#DIV/0!</v>
      </c>
      <c r="W113" s="15" t="e">
        <f t="shared" si="33"/>
        <v>#DIV/0!</v>
      </c>
    </row>
    <row r="114" s="1" customFormat="1" ht="15">
      <c r="F114" s="15"/>
    </row>
    <row r="115" spans="1:6" s="1" customFormat="1" ht="17.25">
      <c r="A115" s="79" t="s">
        <v>214</v>
      </c>
      <c r="F115" s="15"/>
    </row>
    <row r="116" s="1" customFormat="1" ht="15">
      <c r="F116" s="15"/>
    </row>
    <row r="117" spans="1:23" s="1" customFormat="1" ht="15">
      <c r="A117" s="99" t="s">
        <v>199</v>
      </c>
      <c r="B117" s="1" t="s">
        <v>22</v>
      </c>
      <c r="F117" s="15"/>
      <c r="H117" s="15">
        <f>IF(ISBLANK(Temporal_Analysis!G19),"NA",Temporal_Analysis!G19)</f>
        <v>39949</v>
      </c>
      <c r="I117" s="15">
        <f>IF(ISBLANK(Temporal_Analysis!H19),"NA",Temporal_Analysis!H19)</f>
        <v>38353</v>
      </c>
      <c r="J117" s="15">
        <f>IF(ISBLANK(Temporal_Analysis!I19),"NA",Temporal_Analysis!I19)</f>
        <v>38353</v>
      </c>
      <c r="K117" s="15">
        <f>IF(ISBLANK(Temporal_Analysis!J19),"NA",Temporal_Analysis!J19)</f>
        <v>38353</v>
      </c>
      <c r="L117" s="15">
        <f>IF(ISBLANK(Temporal_Analysis!K19),"NA",Temporal_Analysis!K19)</f>
        <v>38353</v>
      </c>
      <c r="M117" s="15" t="str">
        <f>IF(ISBLANK(Temporal_Analysis!L19),"NA",Temporal_Analysis!L19)</f>
        <v>NA</v>
      </c>
      <c r="N117" s="15" t="str">
        <f>IF(ISBLANK(Temporal_Analysis!M19),"NA",Temporal_Analysis!M19)</f>
        <v>NA</v>
      </c>
      <c r="O117" s="15" t="str">
        <f>IF(ISBLANK(Temporal_Analysis!N19),"NA",Temporal_Analysis!N19)</f>
        <v>NA</v>
      </c>
      <c r="P117" s="15">
        <f>IF(ISBLANK(Temporal_Analysis!O19),"NA",Temporal_Analysis!O19)</f>
        <v>38354</v>
      </c>
      <c r="Q117" s="15">
        <f>IF(ISBLANK(Temporal_Analysis!P19),"NA",Temporal_Analysis!P19)</f>
        <v>39449</v>
      </c>
      <c r="R117" s="15">
        <f>IF(ISBLANK(Temporal_Analysis!Q19),"NA",Temporal_Analysis!Q19)</f>
        <v>36045</v>
      </c>
      <c r="S117" s="15">
        <f>IF(ISBLANK(Temporal_Analysis!R19),"NA",Temporal_Analysis!R19)</f>
        <v>36045</v>
      </c>
      <c r="T117" s="15" t="str">
        <f>IF(ISBLANK(Temporal_Analysis!S19),"NA",Temporal_Analysis!S19)</f>
        <v>NA</v>
      </c>
      <c r="U117" s="15" t="str">
        <f>IF(ISBLANK(Temporal_Analysis!T19),"NA",Temporal_Analysis!T19)</f>
        <v>NA</v>
      </c>
      <c r="V117" s="15" t="str">
        <f>IF(ISBLANK(Temporal_Analysis!U19),"NA",Temporal_Analysis!U19)</f>
        <v>NA</v>
      </c>
      <c r="W117" s="15" t="str">
        <f>IF(ISBLANK(Temporal_Analysis!V19),"NA",Temporal_Analysis!V19)</f>
        <v>NA</v>
      </c>
    </row>
    <row r="118" spans="7:23" s="1" customFormat="1" ht="15">
      <c r="G118" s="1" t="s">
        <v>6</v>
      </c>
      <c r="H118" s="1">
        <f>IF(ISBLANK(H117)," ",-($F$55-H117))</f>
        <v>5909</v>
      </c>
      <c r="I118" s="1">
        <f aca="true" t="shared" si="34" ref="I118:W118">IF(ISBLANK(I117)," ",-($F$55-I117))</f>
        <v>4313</v>
      </c>
      <c r="J118" s="1">
        <f t="shared" si="34"/>
        <v>4313</v>
      </c>
      <c r="K118" s="1">
        <f t="shared" si="34"/>
        <v>4313</v>
      </c>
      <c r="L118" s="1">
        <f t="shared" si="34"/>
        <v>4313</v>
      </c>
      <c r="M118" s="1" t="e">
        <f t="shared" si="34"/>
        <v>#VALUE!</v>
      </c>
      <c r="N118" s="1" t="e">
        <f t="shared" si="34"/>
        <v>#VALUE!</v>
      </c>
      <c r="O118" s="1" t="e">
        <f t="shared" si="34"/>
        <v>#VALUE!</v>
      </c>
      <c r="P118" s="1">
        <f t="shared" si="34"/>
        <v>4314</v>
      </c>
      <c r="Q118" s="1">
        <f t="shared" si="34"/>
        <v>5409</v>
      </c>
      <c r="R118" s="1">
        <f t="shared" si="34"/>
        <v>2005</v>
      </c>
      <c r="S118" s="1">
        <f t="shared" si="34"/>
        <v>2005</v>
      </c>
      <c r="T118" s="1" t="e">
        <f t="shared" si="34"/>
        <v>#VALUE!</v>
      </c>
      <c r="U118" s="1" t="e">
        <f t="shared" si="34"/>
        <v>#VALUE!</v>
      </c>
      <c r="V118" s="1" t="e">
        <f t="shared" si="34"/>
        <v>#VALUE!</v>
      </c>
      <c r="W118" s="1" t="e">
        <f t="shared" si="34"/>
        <v>#VALUE!</v>
      </c>
    </row>
    <row r="119" spans="7:23" s="1" customFormat="1" ht="15">
      <c r="G119" s="26" t="s">
        <v>135</v>
      </c>
      <c r="H119" s="1">
        <f>H118/365</f>
        <v>16.18904109589041</v>
      </c>
      <c r="I119" s="1">
        <f aca="true" t="shared" si="35" ref="I119:W119">I118/365</f>
        <v>11.816438356164383</v>
      </c>
      <c r="J119" s="1">
        <f t="shared" si="35"/>
        <v>11.816438356164383</v>
      </c>
      <c r="K119" s="1">
        <f t="shared" si="35"/>
        <v>11.816438356164383</v>
      </c>
      <c r="L119" s="1">
        <f t="shared" si="35"/>
        <v>11.816438356164383</v>
      </c>
      <c r="M119" s="1" t="e">
        <f t="shared" si="35"/>
        <v>#VALUE!</v>
      </c>
      <c r="N119" s="1" t="e">
        <f t="shared" si="35"/>
        <v>#VALUE!</v>
      </c>
      <c r="O119" s="1" t="e">
        <f t="shared" si="35"/>
        <v>#VALUE!</v>
      </c>
      <c r="P119" s="1">
        <f t="shared" si="35"/>
        <v>11.819178082191781</v>
      </c>
      <c r="Q119" s="1">
        <f t="shared" si="35"/>
        <v>14.819178082191781</v>
      </c>
      <c r="R119" s="1">
        <f t="shared" si="35"/>
        <v>5.493150684931507</v>
      </c>
      <c r="S119" s="1">
        <f t="shared" si="35"/>
        <v>5.493150684931507</v>
      </c>
      <c r="T119" s="1" t="e">
        <f t="shared" si="35"/>
        <v>#VALUE!</v>
      </c>
      <c r="U119" s="1" t="e">
        <f t="shared" si="35"/>
        <v>#VALUE!</v>
      </c>
      <c r="V119" s="1" t="e">
        <f t="shared" si="35"/>
        <v>#VALUE!</v>
      </c>
      <c r="W119" s="1" t="e">
        <f t="shared" si="35"/>
        <v>#VALUE!</v>
      </c>
    </row>
    <row r="120" spans="2:23" s="1" customFormat="1" ht="15">
      <c r="B120" s="1" t="s">
        <v>23</v>
      </c>
      <c r="F120" s="15"/>
      <c r="H120" s="18">
        <f>IF(H89&lt;0,IF(H98="yes!",H86*EXP(-H118*H79),"NA"),"NA")</f>
        <v>282.56450348672706</v>
      </c>
      <c r="I120" s="18">
        <f aca="true" t="shared" si="36" ref="I120:W120">IF(I89&lt;0,IF(I98="yes!",I86*EXP(-I118*I79),"NA"),"NA")</f>
        <v>0.03467312362439743</v>
      </c>
      <c r="J120" s="18">
        <f t="shared" si="36"/>
        <v>0.03740148570913957</v>
      </c>
      <c r="K120" s="18" t="str">
        <f t="shared" si="36"/>
        <v>NA</v>
      </c>
      <c r="L120" s="18" t="e">
        <f t="shared" si="36"/>
        <v>#DIV/0!</v>
      </c>
      <c r="M120" s="18" t="e">
        <f t="shared" si="36"/>
        <v>#VALUE!</v>
      </c>
      <c r="N120" s="18" t="e">
        <f t="shared" si="36"/>
        <v>#VALUE!</v>
      </c>
      <c r="O120" s="18" t="e">
        <f t="shared" si="36"/>
        <v>#DIV/0!</v>
      </c>
      <c r="P120" s="18" t="str">
        <f t="shared" si="36"/>
        <v>NA</v>
      </c>
      <c r="Q120" s="18" t="str">
        <f t="shared" si="36"/>
        <v>NA</v>
      </c>
      <c r="R120" s="18">
        <f t="shared" si="36"/>
        <v>0.008409292048308334</v>
      </c>
      <c r="S120" s="18">
        <f t="shared" si="36"/>
        <v>0.12853014629011525</v>
      </c>
      <c r="T120" s="18" t="e">
        <f t="shared" si="36"/>
        <v>#DIV/0!</v>
      </c>
      <c r="U120" s="18" t="e">
        <f t="shared" si="36"/>
        <v>#DIV/0!</v>
      </c>
      <c r="V120" s="18" t="e">
        <f t="shared" si="36"/>
        <v>#DIV/0!</v>
      </c>
      <c r="W120" s="18" t="e">
        <f t="shared" si="36"/>
        <v>#DIV/0!</v>
      </c>
    </row>
    <row r="121" s="1" customFormat="1" ht="15">
      <c r="F121" s="15"/>
    </row>
    <row r="122" spans="1:23" s="1" customFormat="1" ht="15">
      <c r="A122" s="99" t="s">
        <v>200</v>
      </c>
      <c r="B122" s="1" t="s">
        <v>23</v>
      </c>
      <c r="F122" s="15"/>
      <c r="H122" s="18">
        <f>IF(H89&lt;0,IF(H98="yes!",H86*EXP(-H118*H82),"NA"),"NA")</f>
        <v>577.7452566930639</v>
      </c>
      <c r="I122" s="18">
        <f aca="true" t="shared" si="37" ref="I122:W122">IF(I89&lt;0,IF(I98="yes!",I86*EXP(-I118*I82),"NA"),"NA")</f>
        <v>0.19354360780545582</v>
      </c>
      <c r="J122" s="18">
        <f t="shared" si="37"/>
        <v>0.17093895943281237</v>
      </c>
      <c r="K122" s="18" t="str">
        <f t="shared" si="37"/>
        <v>NA</v>
      </c>
      <c r="L122" s="18" t="e">
        <f t="shared" si="37"/>
        <v>#DIV/0!</v>
      </c>
      <c r="M122" s="18" t="e">
        <f t="shared" si="37"/>
        <v>#VALUE!</v>
      </c>
      <c r="N122" s="18" t="e">
        <f t="shared" si="37"/>
        <v>#VALUE!</v>
      </c>
      <c r="O122" s="18" t="e">
        <f t="shared" si="37"/>
        <v>#DIV/0!</v>
      </c>
      <c r="P122" s="18" t="str">
        <f t="shared" si="37"/>
        <v>NA</v>
      </c>
      <c r="Q122" s="18" t="str">
        <f t="shared" si="37"/>
        <v>NA</v>
      </c>
      <c r="R122" s="18">
        <f t="shared" si="37"/>
        <v>0.027135125779632802</v>
      </c>
      <c r="S122" s="18">
        <f t="shared" si="37"/>
        <v>0.8526717208631829</v>
      </c>
      <c r="T122" s="18" t="e">
        <f t="shared" si="37"/>
        <v>#DIV/0!</v>
      </c>
      <c r="U122" s="18" t="e">
        <f t="shared" si="37"/>
        <v>#DIV/0!</v>
      </c>
      <c r="V122" s="18" t="e">
        <f t="shared" si="37"/>
        <v>#DIV/0!</v>
      </c>
      <c r="W122" s="18" t="e">
        <f t="shared" si="37"/>
        <v>#DIV/0!</v>
      </c>
    </row>
    <row r="123" spans="6:19" ht="15">
      <c r="F123" s="9"/>
      <c r="H123" s="1"/>
      <c r="I123" s="1"/>
      <c r="J123" s="1"/>
      <c r="K123" s="1"/>
      <c r="L123" s="1"/>
      <c r="M123" s="1"/>
      <c r="N123" s="1"/>
      <c r="O123" s="1"/>
      <c r="P123" s="1"/>
      <c r="Q123" s="1"/>
      <c r="R123" s="1"/>
      <c r="S123" s="1"/>
    </row>
    <row r="124" spans="6:19" s="38" customFormat="1" ht="15">
      <c r="F124" s="37"/>
      <c r="H124" s="28"/>
      <c r="I124" s="28"/>
      <c r="J124" s="28"/>
      <c r="K124" s="28"/>
      <c r="L124" s="28"/>
      <c r="M124" s="28"/>
      <c r="N124" s="28"/>
      <c r="O124" s="28"/>
      <c r="P124" s="28"/>
      <c r="Q124" s="28"/>
      <c r="R124" s="28"/>
      <c r="S124" s="28"/>
    </row>
    <row r="125" spans="1:19" ht="17.25">
      <c r="A125" s="22" t="s">
        <v>218</v>
      </c>
      <c r="F125" s="9"/>
      <c r="H125" s="1"/>
      <c r="I125" s="1"/>
      <c r="J125" s="1"/>
      <c r="K125" s="1"/>
      <c r="L125" s="1"/>
      <c r="M125" s="1"/>
      <c r="N125" s="1"/>
      <c r="O125" s="1"/>
      <c r="P125" s="1"/>
      <c r="Q125" s="1"/>
      <c r="R125" s="1"/>
      <c r="S125" s="1"/>
    </row>
    <row r="126" spans="2:23" s="27" customFormat="1" ht="15.75" thickBot="1">
      <c r="B126" s="62"/>
      <c r="C126" s="63"/>
      <c r="D126" s="63"/>
      <c r="E126" s="63"/>
      <c r="F126" s="63"/>
      <c r="G126" s="63"/>
      <c r="H126" s="1149" t="s">
        <v>362</v>
      </c>
      <c r="I126" s="1150"/>
      <c r="J126" s="1150"/>
      <c r="K126" s="1150"/>
      <c r="L126" s="1150"/>
      <c r="M126" s="1150"/>
      <c r="N126" s="1150"/>
      <c r="O126" s="1150"/>
      <c r="P126" s="1150"/>
      <c r="Q126" s="1150"/>
      <c r="R126" s="1150"/>
      <c r="S126" s="1150"/>
      <c r="T126" s="1150"/>
      <c r="U126" s="1150"/>
      <c r="V126" s="1150"/>
      <c r="W126" s="1151"/>
    </row>
    <row r="127" spans="2:23" s="27" customFormat="1" ht="15">
      <c r="B127" s="64" t="str">
        <f aca="true" t="shared" si="38" ref="B127:B146">B55</f>
        <v>#1</v>
      </c>
      <c r="C127" s="18"/>
      <c r="D127" s="18"/>
      <c r="E127" s="18"/>
      <c r="F127" s="18"/>
      <c r="G127" s="18"/>
      <c r="H127" s="18">
        <f>IF(ISTEXT(H55),,$G$55)</f>
        <v>0</v>
      </c>
      <c r="I127" s="18">
        <f aca="true" t="shared" si="39" ref="I127:W127">IF(ISTEXT(I55),,$G$55)</f>
        <v>0</v>
      </c>
      <c r="J127" s="18">
        <f t="shared" si="39"/>
        <v>0</v>
      </c>
      <c r="K127" s="18">
        <f t="shared" si="39"/>
        <v>0</v>
      </c>
      <c r="L127" s="18">
        <f t="shared" si="39"/>
        <v>0</v>
      </c>
      <c r="M127" s="18">
        <f t="shared" si="39"/>
        <v>0</v>
      </c>
      <c r="N127" s="18">
        <f t="shared" si="39"/>
        <v>0</v>
      </c>
      <c r="O127" s="18">
        <f t="shared" si="39"/>
        <v>0</v>
      </c>
      <c r="P127" s="18">
        <f t="shared" si="39"/>
        <v>0</v>
      </c>
      <c r="Q127" s="18">
        <f t="shared" si="39"/>
        <v>0</v>
      </c>
      <c r="R127" s="18">
        <f t="shared" si="39"/>
        <v>0</v>
      </c>
      <c r="S127" s="18">
        <f t="shared" si="39"/>
        <v>0</v>
      </c>
      <c r="T127" s="18">
        <f t="shared" si="39"/>
        <v>0</v>
      </c>
      <c r="U127" s="18">
        <f t="shared" si="39"/>
        <v>0</v>
      </c>
      <c r="V127" s="18">
        <f t="shared" si="39"/>
        <v>0</v>
      </c>
      <c r="W127" s="65">
        <f t="shared" si="39"/>
        <v>0</v>
      </c>
    </row>
    <row r="128" spans="2:23" s="27" customFormat="1" ht="15">
      <c r="B128" s="64" t="str">
        <f t="shared" si="38"/>
        <v>#2</v>
      </c>
      <c r="C128" s="18"/>
      <c r="D128" s="18"/>
      <c r="E128" s="18"/>
      <c r="F128" s="18"/>
      <c r="G128" s="18"/>
      <c r="H128" s="18">
        <f>IF(ISTEXT(H56),,$G$56)</f>
        <v>60</v>
      </c>
      <c r="I128" s="18">
        <f aca="true" t="shared" si="40" ref="I128:W128">IF(ISTEXT(I56),,$G$56)</f>
        <v>60</v>
      </c>
      <c r="J128" s="18">
        <f t="shared" si="40"/>
        <v>60</v>
      </c>
      <c r="K128" s="18">
        <f t="shared" si="40"/>
        <v>60</v>
      </c>
      <c r="L128" s="18">
        <f t="shared" si="40"/>
        <v>0</v>
      </c>
      <c r="M128" s="18">
        <f t="shared" si="40"/>
        <v>0</v>
      </c>
      <c r="N128" s="18">
        <f t="shared" si="40"/>
        <v>0</v>
      </c>
      <c r="O128" s="18">
        <f t="shared" si="40"/>
        <v>0</v>
      </c>
      <c r="P128" s="18">
        <f t="shared" si="40"/>
        <v>60</v>
      </c>
      <c r="Q128" s="18">
        <f t="shared" si="40"/>
        <v>60</v>
      </c>
      <c r="R128" s="18">
        <f t="shared" si="40"/>
        <v>0</v>
      </c>
      <c r="S128" s="18">
        <f t="shared" si="40"/>
        <v>0</v>
      </c>
      <c r="T128" s="18">
        <f t="shared" si="40"/>
        <v>0</v>
      </c>
      <c r="U128" s="18">
        <f t="shared" si="40"/>
        <v>0</v>
      </c>
      <c r="V128" s="18">
        <f t="shared" si="40"/>
        <v>0</v>
      </c>
      <c r="W128" s="65">
        <f t="shared" si="40"/>
        <v>0</v>
      </c>
    </row>
    <row r="129" spans="2:23" s="27" customFormat="1" ht="15">
      <c r="B129" s="64" t="str">
        <f t="shared" si="38"/>
        <v>#3</v>
      </c>
      <c r="C129" s="18"/>
      <c r="D129" s="18"/>
      <c r="E129" s="18"/>
      <c r="F129" s="18"/>
      <c r="G129" s="18"/>
      <c r="H129" s="18">
        <f>IF(ISTEXT(H57),,$G$57)</f>
        <v>189</v>
      </c>
      <c r="I129" s="18">
        <f aca="true" t="shared" si="41" ref="I129:W129">IF(ISTEXT(I57),,$G$57)</f>
        <v>189</v>
      </c>
      <c r="J129" s="18">
        <f t="shared" si="41"/>
        <v>189</v>
      </c>
      <c r="K129" s="18">
        <f t="shared" si="41"/>
        <v>189</v>
      </c>
      <c r="L129" s="18">
        <f t="shared" si="41"/>
        <v>0</v>
      </c>
      <c r="M129" s="18">
        <f t="shared" si="41"/>
        <v>189</v>
      </c>
      <c r="N129" s="18">
        <f t="shared" si="41"/>
        <v>0</v>
      </c>
      <c r="O129" s="18">
        <f t="shared" si="41"/>
        <v>0</v>
      </c>
      <c r="P129" s="18">
        <f t="shared" si="41"/>
        <v>0</v>
      </c>
      <c r="Q129" s="18">
        <f t="shared" si="41"/>
        <v>189</v>
      </c>
      <c r="R129" s="18">
        <f t="shared" si="41"/>
        <v>189</v>
      </c>
      <c r="S129" s="18">
        <f t="shared" si="41"/>
        <v>0</v>
      </c>
      <c r="T129" s="18">
        <f t="shared" si="41"/>
        <v>0</v>
      </c>
      <c r="U129" s="18">
        <f t="shared" si="41"/>
        <v>0</v>
      </c>
      <c r="V129" s="18">
        <f t="shared" si="41"/>
        <v>0</v>
      </c>
      <c r="W129" s="65">
        <f t="shared" si="41"/>
        <v>0</v>
      </c>
    </row>
    <row r="130" spans="2:23" s="27" customFormat="1" ht="15">
      <c r="B130" s="64" t="str">
        <f t="shared" si="38"/>
        <v>#4</v>
      </c>
      <c r="C130" s="18"/>
      <c r="D130" s="18"/>
      <c r="E130" s="18"/>
      <c r="F130" s="18"/>
      <c r="G130" s="18"/>
      <c r="H130" s="18">
        <f>IF(ISTEXT(H58),,$G$58)</f>
        <v>560</v>
      </c>
      <c r="I130" s="18">
        <f aca="true" t="shared" si="42" ref="I130:W130">IF(ISTEXT(I58),,$G$58)</f>
        <v>560</v>
      </c>
      <c r="J130" s="18">
        <f t="shared" si="42"/>
        <v>560</v>
      </c>
      <c r="K130" s="18">
        <f t="shared" si="42"/>
        <v>560</v>
      </c>
      <c r="L130" s="18">
        <f t="shared" si="42"/>
        <v>0</v>
      </c>
      <c r="M130" s="18">
        <f t="shared" si="42"/>
        <v>560</v>
      </c>
      <c r="N130" s="18">
        <f t="shared" si="42"/>
        <v>560</v>
      </c>
      <c r="O130" s="18">
        <f t="shared" si="42"/>
        <v>0</v>
      </c>
      <c r="P130" s="18">
        <f t="shared" si="42"/>
        <v>560</v>
      </c>
      <c r="Q130" s="18">
        <f t="shared" si="42"/>
        <v>560</v>
      </c>
      <c r="R130" s="18">
        <f t="shared" si="42"/>
        <v>0</v>
      </c>
      <c r="S130" s="18">
        <f t="shared" si="42"/>
        <v>560</v>
      </c>
      <c r="T130" s="18">
        <f t="shared" si="42"/>
        <v>0</v>
      </c>
      <c r="U130" s="18">
        <f t="shared" si="42"/>
        <v>0</v>
      </c>
      <c r="V130" s="18">
        <f t="shared" si="42"/>
        <v>0</v>
      </c>
      <c r="W130" s="65">
        <f t="shared" si="42"/>
        <v>0</v>
      </c>
    </row>
    <row r="131" spans="2:23" s="27" customFormat="1" ht="15">
      <c r="B131" s="64" t="str">
        <f t="shared" si="38"/>
        <v>#5</v>
      </c>
      <c r="C131" s="18"/>
      <c r="D131" s="18"/>
      <c r="E131" s="18"/>
      <c r="F131" s="18"/>
      <c r="G131" s="18"/>
      <c r="H131" s="18">
        <f>IF(ISTEXT(H59),,$G$59)</f>
        <v>1162</v>
      </c>
      <c r="I131" s="18">
        <f aca="true" t="shared" si="43" ref="I131:W131">IF(ISTEXT(I59),,$G$59)</f>
        <v>0</v>
      </c>
      <c r="J131" s="18">
        <f t="shared" si="43"/>
        <v>1162</v>
      </c>
      <c r="K131" s="18">
        <f t="shared" si="43"/>
        <v>1162</v>
      </c>
      <c r="L131" s="18">
        <f t="shared" si="43"/>
        <v>0</v>
      </c>
      <c r="M131" s="18">
        <f t="shared" si="43"/>
        <v>1162</v>
      </c>
      <c r="N131" s="18">
        <f t="shared" si="43"/>
        <v>1162</v>
      </c>
      <c r="O131" s="18">
        <f t="shared" si="43"/>
        <v>0</v>
      </c>
      <c r="P131" s="18">
        <f t="shared" si="43"/>
        <v>0</v>
      </c>
      <c r="Q131" s="18">
        <f t="shared" si="43"/>
        <v>1162</v>
      </c>
      <c r="R131" s="18">
        <f t="shared" si="43"/>
        <v>1162</v>
      </c>
      <c r="S131" s="18">
        <f t="shared" si="43"/>
        <v>1162</v>
      </c>
      <c r="T131" s="18">
        <f t="shared" si="43"/>
        <v>0</v>
      </c>
      <c r="U131" s="18">
        <f t="shared" si="43"/>
        <v>0</v>
      </c>
      <c r="V131" s="18">
        <f t="shared" si="43"/>
        <v>0</v>
      </c>
      <c r="W131" s="65">
        <f t="shared" si="43"/>
        <v>0</v>
      </c>
    </row>
    <row r="132" spans="2:23" s="27" customFormat="1" ht="15">
      <c r="B132" s="64" t="str">
        <f t="shared" si="38"/>
        <v>#6</v>
      </c>
      <c r="C132" s="18"/>
      <c r="D132" s="18"/>
      <c r="E132" s="18"/>
      <c r="F132" s="18"/>
      <c r="G132" s="18"/>
      <c r="H132" s="18">
        <f>IF(ISTEXT(H60),,$G$60)</f>
        <v>1247</v>
      </c>
      <c r="I132" s="18">
        <f aca="true" t="shared" si="44" ref="I132:W132">IF(ISTEXT(I60),,$G$60)</f>
        <v>1247</v>
      </c>
      <c r="J132" s="18">
        <f t="shared" si="44"/>
        <v>0</v>
      </c>
      <c r="K132" s="18">
        <f t="shared" si="44"/>
        <v>1247</v>
      </c>
      <c r="L132" s="18">
        <f t="shared" si="44"/>
        <v>0</v>
      </c>
      <c r="M132" s="18">
        <f t="shared" si="44"/>
        <v>1247</v>
      </c>
      <c r="N132" s="18">
        <f t="shared" si="44"/>
        <v>0</v>
      </c>
      <c r="O132" s="18">
        <f t="shared" si="44"/>
        <v>0</v>
      </c>
      <c r="P132" s="18">
        <f t="shared" si="44"/>
        <v>1247</v>
      </c>
      <c r="Q132" s="18">
        <f t="shared" si="44"/>
        <v>1247</v>
      </c>
      <c r="R132" s="18">
        <f t="shared" si="44"/>
        <v>1247</v>
      </c>
      <c r="S132" s="18">
        <f t="shared" si="44"/>
        <v>1247</v>
      </c>
      <c r="T132" s="18">
        <f t="shared" si="44"/>
        <v>0</v>
      </c>
      <c r="U132" s="18">
        <f t="shared" si="44"/>
        <v>0</v>
      </c>
      <c r="V132" s="18">
        <f t="shared" si="44"/>
        <v>0</v>
      </c>
      <c r="W132" s="65">
        <f t="shared" si="44"/>
        <v>0</v>
      </c>
    </row>
    <row r="133" spans="2:23" s="27" customFormat="1" ht="15">
      <c r="B133" s="64" t="str">
        <f t="shared" si="38"/>
        <v>#7</v>
      </c>
      <c r="C133" s="18"/>
      <c r="D133" s="18"/>
      <c r="E133" s="18"/>
      <c r="F133" s="18"/>
      <c r="G133" s="18"/>
      <c r="H133" s="18">
        <f>IF(ISTEXT(H61),,$G$61)</f>
        <v>1336</v>
      </c>
      <c r="I133" s="18">
        <f aca="true" t="shared" si="45" ref="I133:W133">IF(ISTEXT(I61),,$G$61)</f>
        <v>1336</v>
      </c>
      <c r="J133" s="18">
        <f t="shared" si="45"/>
        <v>1336</v>
      </c>
      <c r="K133" s="18">
        <f t="shared" si="45"/>
        <v>0</v>
      </c>
      <c r="L133" s="18">
        <f t="shared" si="45"/>
        <v>0</v>
      </c>
      <c r="M133" s="18">
        <f t="shared" si="45"/>
        <v>1336</v>
      </c>
      <c r="N133" s="18">
        <f t="shared" si="45"/>
        <v>1336</v>
      </c>
      <c r="O133" s="18">
        <f t="shared" si="45"/>
        <v>0</v>
      </c>
      <c r="P133" s="18">
        <f t="shared" si="45"/>
        <v>1336</v>
      </c>
      <c r="Q133" s="18">
        <f t="shared" si="45"/>
        <v>1336</v>
      </c>
      <c r="R133" s="18">
        <f t="shared" si="45"/>
        <v>0</v>
      </c>
      <c r="S133" s="18">
        <f t="shared" si="45"/>
        <v>1336</v>
      </c>
      <c r="T133" s="18">
        <f t="shared" si="45"/>
        <v>0</v>
      </c>
      <c r="U133" s="18">
        <f t="shared" si="45"/>
        <v>0</v>
      </c>
      <c r="V133" s="18">
        <f t="shared" si="45"/>
        <v>0</v>
      </c>
      <c r="W133" s="65">
        <f t="shared" si="45"/>
        <v>0</v>
      </c>
    </row>
    <row r="134" spans="2:23" s="27" customFormat="1" ht="15">
      <c r="B134" s="64" t="str">
        <f t="shared" si="38"/>
        <v>#8</v>
      </c>
      <c r="C134" s="18"/>
      <c r="D134" s="18"/>
      <c r="E134" s="18"/>
      <c r="F134" s="18"/>
      <c r="G134" s="18"/>
      <c r="H134" s="18">
        <f>IF(ISTEXT(H62),,$G$62)</f>
        <v>1732</v>
      </c>
      <c r="I134" s="18">
        <f aca="true" t="shared" si="46" ref="I134:W134">IF(ISTEXT(I62),,$G$62)</f>
        <v>1732</v>
      </c>
      <c r="J134" s="18">
        <f t="shared" si="46"/>
        <v>1732</v>
      </c>
      <c r="K134" s="18">
        <f t="shared" si="46"/>
        <v>1732</v>
      </c>
      <c r="L134" s="18">
        <f t="shared" si="46"/>
        <v>0</v>
      </c>
      <c r="M134" s="18">
        <f t="shared" si="46"/>
        <v>1732</v>
      </c>
      <c r="N134" s="18">
        <f t="shared" si="46"/>
        <v>1732</v>
      </c>
      <c r="O134" s="18">
        <f t="shared" si="46"/>
        <v>0</v>
      </c>
      <c r="P134" s="18">
        <f t="shared" si="46"/>
        <v>1732</v>
      </c>
      <c r="Q134" s="18">
        <f t="shared" si="46"/>
        <v>1732</v>
      </c>
      <c r="R134" s="18">
        <f t="shared" si="46"/>
        <v>0</v>
      </c>
      <c r="S134" s="18">
        <f t="shared" si="46"/>
        <v>1732</v>
      </c>
      <c r="T134" s="18">
        <f t="shared" si="46"/>
        <v>0</v>
      </c>
      <c r="U134" s="18">
        <f t="shared" si="46"/>
        <v>0</v>
      </c>
      <c r="V134" s="18">
        <f t="shared" si="46"/>
        <v>0</v>
      </c>
      <c r="W134" s="65">
        <f t="shared" si="46"/>
        <v>0</v>
      </c>
    </row>
    <row r="135" spans="2:23" s="27" customFormat="1" ht="15">
      <c r="B135" s="64" t="str">
        <f t="shared" si="38"/>
        <v>#9</v>
      </c>
      <c r="C135" s="18"/>
      <c r="D135" s="18"/>
      <c r="E135" s="18"/>
      <c r="F135" s="18"/>
      <c r="G135" s="18"/>
      <c r="H135" s="18">
        <f>IF(ISTEXT(H63),,$G$63)</f>
        <v>1841</v>
      </c>
      <c r="I135" s="18">
        <f aca="true" t="shared" si="47" ref="I135:W135">IF(ISTEXT(I63),,$G$63)</f>
        <v>1841</v>
      </c>
      <c r="J135" s="18">
        <f t="shared" si="47"/>
        <v>1841</v>
      </c>
      <c r="K135" s="18">
        <f t="shared" si="47"/>
        <v>0</v>
      </c>
      <c r="L135" s="18">
        <f t="shared" si="47"/>
        <v>0</v>
      </c>
      <c r="M135" s="18">
        <f t="shared" si="47"/>
        <v>1841</v>
      </c>
      <c r="N135" s="18">
        <f t="shared" si="47"/>
        <v>1841</v>
      </c>
      <c r="O135" s="18">
        <f t="shared" si="47"/>
        <v>0</v>
      </c>
      <c r="P135" s="18">
        <f t="shared" si="47"/>
        <v>0</v>
      </c>
      <c r="Q135" s="18">
        <f t="shared" si="47"/>
        <v>1841</v>
      </c>
      <c r="R135" s="18">
        <f t="shared" si="47"/>
        <v>0</v>
      </c>
      <c r="S135" s="18">
        <f t="shared" si="47"/>
        <v>0</v>
      </c>
      <c r="T135" s="18">
        <f t="shared" si="47"/>
        <v>0</v>
      </c>
      <c r="U135" s="18">
        <f t="shared" si="47"/>
        <v>0</v>
      </c>
      <c r="V135" s="18">
        <f t="shared" si="47"/>
        <v>0</v>
      </c>
      <c r="W135" s="65">
        <f t="shared" si="47"/>
        <v>0</v>
      </c>
    </row>
    <row r="136" spans="2:23" s="27" customFormat="1" ht="15">
      <c r="B136" s="64" t="str">
        <f t="shared" si="38"/>
        <v>#10</v>
      </c>
      <c r="C136" s="18"/>
      <c r="D136" s="18"/>
      <c r="E136" s="18"/>
      <c r="F136" s="18"/>
      <c r="G136" s="18"/>
      <c r="H136" s="18">
        <f>IF(ISTEXT(H64),,$G$64)</f>
        <v>1959</v>
      </c>
      <c r="I136" s="18">
        <f aca="true" t="shared" si="48" ref="I136:W136">IF(ISTEXT(I64),,$G$64)</f>
        <v>1959</v>
      </c>
      <c r="J136" s="18">
        <f t="shared" si="48"/>
        <v>1959</v>
      </c>
      <c r="K136" s="18">
        <f t="shared" si="48"/>
        <v>0</v>
      </c>
      <c r="L136" s="18">
        <f t="shared" si="48"/>
        <v>0</v>
      </c>
      <c r="M136" s="18">
        <f t="shared" si="48"/>
        <v>1959</v>
      </c>
      <c r="N136" s="18">
        <f t="shared" si="48"/>
        <v>1959</v>
      </c>
      <c r="O136" s="18">
        <f t="shared" si="48"/>
        <v>0</v>
      </c>
      <c r="P136" s="18">
        <f t="shared" si="48"/>
        <v>0</v>
      </c>
      <c r="Q136" s="18">
        <f t="shared" si="48"/>
        <v>1959</v>
      </c>
      <c r="R136" s="18">
        <f t="shared" si="48"/>
        <v>0</v>
      </c>
      <c r="S136" s="18">
        <f t="shared" si="48"/>
        <v>0</v>
      </c>
      <c r="T136" s="18">
        <f t="shared" si="48"/>
        <v>0</v>
      </c>
      <c r="U136" s="18">
        <f t="shared" si="48"/>
        <v>0</v>
      </c>
      <c r="V136" s="18">
        <f t="shared" si="48"/>
        <v>0</v>
      </c>
      <c r="W136" s="65">
        <f t="shared" si="48"/>
        <v>0</v>
      </c>
    </row>
    <row r="137" spans="2:23" s="27" customFormat="1" ht="15">
      <c r="B137" s="64" t="str">
        <f t="shared" si="38"/>
        <v>#11</v>
      </c>
      <c r="C137" s="18"/>
      <c r="D137" s="18"/>
      <c r="E137" s="18"/>
      <c r="F137" s="18"/>
      <c r="G137" s="18"/>
      <c r="H137" s="18">
        <f>IF(ISTEXT(H65),,$G$65)</f>
        <v>2016</v>
      </c>
      <c r="I137" s="18">
        <f aca="true" t="shared" si="49" ref="I137:W137">IF(ISTEXT(I65),,$G$65)</f>
        <v>2016</v>
      </c>
      <c r="J137" s="18">
        <f t="shared" si="49"/>
        <v>2016</v>
      </c>
      <c r="K137" s="18">
        <f t="shared" si="49"/>
        <v>0</v>
      </c>
      <c r="L137" s="18">
        <f t="shared" si="49"/>
        <v>0</v>
      </c>
      <c r="M137" s="18">
        <f t="shared" si="49"/>
        <v>2016</v>
      </c>
      <c r="N137" s="18">
        <f t="shared" si="49"/>
        <v>0</v>
      </c>
      <c r="O137" s="18">
        <f t="shared" si="49"/>
        <v>0</v>
      </c>
      <c r="P137" s="18">
        <f t="shared" si="49"/>
        <v>0</v>
      </c>
      <c r="Q137" s="18">
        <f t="shared" si="49"/>
        <v>0</v>
      </c>
      <c r="R137" s="18">
        <f t="shared" si="49"/>
        <v>0</v>
      </c>
      <c r="S137" s="18">
        <f t="shared" si="49"/>
        <v>0</v>
      </c>
      <c r="T137" s="18">
        <f t="shared" si="49"/>
        <v>0</v>
      </c>
      <c r="U137" s="18">
        <f t="shared" si="49"/>
        <v>0</v>
      </c>
      <c r="V137" s="18">
        <f t="shared" si="49"/>
        <v>0</v>
      </c>
      <c r="W137" s="65">
        <f t="shared" si="49"/>
        <v>0</v>
      </c>
    </row>
    <row r="138" spans="2:23" s="27" customFormat="1" ht="15">
      <c r="B138" s="64" t="str">
        <f t="shared" si="38"/>
        <v>#12</v>
      </c>
      <c r="C138" s="18"/>
      <c r="D138" s="18"/>
      <c r="E138" s="18"/>
      <c r="F138" s="18"/>
      <c r="G138" s="18"/>
      <c r="H138" s="18">
        <f>IF(ISTEXT(H66),,$G$66)</f>
        <v>2105</v>
      </c>
      <c r="I138" s="18">
        <f aca="true" t="shared" si="50" ref="I138:W138">IF(ISTEXT(I66),,$G$66)</f>
        <v>2105</v>
      </c>
      <c r="J138" s="18">
        <f t="shared" si="50"/>
        <v>2105</v>
      </c>
      <c r="K138" s="18">
        <f t="shared" si="50"/>
        <v>0</v>
      </c>
      <c r="L138" s="18">
        <f t="shared" si="50"/>
        <v>0</v>
      </c>
      <c r="M138" s="18">
        <f t="shared" si="50"/>
        <v>2105</v>
      </c>
      <c r="N138" s="18">
        <f t="shared" si="50"/>
        <v>2105</v>
      </c>
      <c r="O138" s="18">
        <f t="shared" si="50"/>
        <v>0</v>
      </c>
      <c r="P138" s="18">
        <f t="shared" si="50"/>
        <v>2105</v>
      </c>
      <c r="Q138" s="18">
        <f t="shared" si="50"/>
        <v>2105</v>
      </c>
      <c r="R138" s="18">
        <f t="shared" si="50"/>
        <v>0</v>
      </c>
      <c r="S138" s="18">
        <f t="shared" si="50"/>
        <v>0</v>
      </c>
      <c r="T138" s="18">
        <f t="shared" si="50"/>
        <v>0</v>
      </c>
      <c r="U138" s="18">
        <f t="shared" si="50"/>
        <v>0</v>
      </c>
      <c r="V138" s="18">
        <f t="shared" si="50"/>
        <v>0</v>
      </c>
      <c r="W138" s="65">
        <f t="shared" si="50"/>
        <v>0</v>
      </c>
    </row>
    <row r="139" spans="2:23" s="27" customFormat="1" ht="15">
      <c r="B139" s="64" t="str">
        <f t="shared" si="38"/>
        <v>#13</v>
      </c>
      <c r="C139" s="18"/>
      <c r="D139" s="18"/>
      <c r="E139" s="18"/>
      <c r="F139" s="18"/>
      <c r="G139" s="18"/>
      <c r="H139" s="18">
        <f>IF(ISTEXT(H67),,$G$67)</f>
        <v>2180</v>
      </c>
      <c r="I139" s="18">
        <f aca="true" t="shared" si="51" ref="I139:W139">IF(ISTEXT(I67),,$G$67)</f>
        <v>2180</v>
      </c>
      <c r="J139" s="18">
        <f t="shared" si="51"/>
        <v>0</v>
      </c>
      <c r="K139" s="18">
        <f t="shared" si="51"/>
        <v>0</v>
      </c>
      <c r="L139" s="18">
        <f t="shared" si="51"/>
        <v>0</v>
      </c>
      <c r="M139" s="18">
        <f t="shared" si="51"/>
        <v>2180</v>
      </c>
      <c r="N139" s="18">
        <f t="shared" si="51"/>
        <v>2180</v>
      </c>
      <c r="O139" s="18">
        <f t="shared" si="51"/>
        <v>0</v>
      </c>
      <c r="P139" s="18">
        <f t="shared" si="51"/>
        <v>2180</v>
      </c>
      <c r="Q139" s="18">
        <f t="shared" si="51"/>
        <v>2180</v>
      </c>
      <c r="R139" s="18">
        <f t="shared" si="51"/>
        <v>0</v>
      </c>
      <c r="S139" s="18">
        <f t="shared" si="51"/>
        <v>0</v>
      </c>
      <c r="T139" s="18">
        <f t="shared" si="51"/>
        <v>0</v>
      </c>
      <c r="U139" s="18">
        <f t="shared" si="51"/>
        <v>0</v>
      </c>
      <c r="V139" s="18">
        <f t="shared" si="51"/>
        <v>0</v>
      </c>
      <c r="W139" s="65">
        <f t="shared" si="51"/>
        <v>0</v>
      </c>
    </row>
    <row r="140" spans="2:23" s="27" customFormat="1" ht="15">
      <c r="B140" s="64" t="str">
        <f t="shared" si="38"/>
        <v>#14</v>
      </c>
      <c r="C140" s="18"/>
      <c r="D140" s="18"/>
      <c r="E140" s="18"/>
      <c r="F140" s="18"/>
      <c r="G140" s="18"/>
      <c r="H140" s="18">
        <f>IF(ISTEXT(H68),,$G$68)</f>
        <v>0</v>
      </c>
      <c r="I140" s="18">
        <f aca="true" t="shared" si="52" ref="I140:W140">IF(ISTEXT(I68),,$G$68)</f>
        <v>0</v>
      </c>
      <c r="J140" s="18">
        <f t="shared" si="52"/>
        <v>0</v>
      </c>
      <c r="K140" s="18">
        <f t="shared" si="52"/>
        <v>0</v>
      </c>
      <c r="L140" s="18">
        <f t="shared" si="52"/>
        <v>0</v>
      </c>
      <c r="M140" s="18">
        <f t="shared" si="52"/>
        <v>2292</v>
      </c>
      <c r="N140" s="18">
        <f t="shared" si="52"/>
        <v>2292</v>
      </c>
      <c r="O140" s="18">
        <f t="shared" si="52"/>
        <v>0</v>
      </c>
      <c r="P140" s="18">
        <f t="shared" si="52"/>
        <v>0</v>
      </c>
      <c r="Q140" s="18">
        <f t="shared" si="52"/>
        <v>0</v>
      </c>
      <c r="R140" s="18">
        <f t="shared" si="52"/>
        <v>0</v>
      </c>
      <c r="S140" s="18">
        <f t="shared" si="52"/>
        <v>0</v>
      </c>
      <c r="T140" s="18">
        <f t="shared" si="52"/>
        <v>0</v>
      </c>
      <c r="U140" s="18">
        <f t="shared" si="52"/>
        <v>0</v>
      </c>
      <c r="V140" s="18">
        <f t="shared" si="52"/>
        <v>0</v>
      </c>
      <c r="W140" s="65">
        <f t="shared" si="52"/>
        <v>0</v>
      </c>
    </row>
    <row r="141" spans="2:23" s="27" customFormat="1" ht="15">
      <c r="B141" s="64" t="str">
        <f t="shared" si="38"/>
        <v>#15</v>
      </c>
      <c r="C141" s="18"/>
      <c r="D141" s="18"/>
      <c r="E141" s="18"/>
      <c r="F141" s="18"/>
      <c r="G141" s="18"/>
      <c r="H141" s="18">
        <f>IF(ISTEXT(H69),,$G$69)</f>
        <v>0</v>
      </c>
      <c r="I141" s="18">
        <f aca="true" t="shared" si="53" ref="I141:W141">IF(ISTEXT(I69),,$G$69)</f>
        <v>0</v>
      </c>
      <c r="J141" s="18">
        <f t="shared" si="53"/>
        <v>0</v>
      </c>
      <c r="K141" s="18">
        <f t="shared" si="53"/>
        <v>0</v>
      </c>
      <c r="L141" s="18">
        <f t="shared" si="53"/>
        <v>0</v>
      </c>
      <c r="M141" s="18">
        <f t="shared" si="53"/>
        <v>2370</v>
      </c>
      <c r="N141" s="18">
        <f t="shared" si="53"/>
        <v>2370</v>
      </c>
      <c r="O141" s="18">
        <f t="shared" si="53"/>
        <v>0</v>
      </c>
      <c r="P141" s="18">
        <f t="shared" si="53"/>
        <v>0</v>
      </c>
      <c r="Q141" s="18">
        <f t="shared" si="53"/>
        <v>0</v>
      </c>
      <c r="R141" s="18">
        <f t="shared" si="53"/>
        <v>0</v>
      </c>
      <c r="S141" s="18">
        <f t="shared" si="53"/>
        <v>0</v>
      </c>
      <c r="T141" s="18">
        <f t="shared" si="53"/>
        <v>0</v>
      </c>
      <c r="U141" s="18">
        <f t="shared" si="53"/>
        <v>0</v>
      </c>
      <c r="V141" s="18">
        <f t="shared" si="53"/>
        <v>0</v>
      </c>
      <c r="W141" s="18">
        <f t="shared" si="53"/>
        <v>0</v>
      </c>
    </row>
    <row r="142" spans="2:23" s="27" customFormat="1" ht="15">
      <c r="B142" s="64" t="str">
        <f t="shared" si="38"/>
        <v>#16</v>
      </c>
      <c r="C142" s="18"/>
      <c r="D142" s="18"/>
      <c r="E142" s="18"/>
      <c r="F142" s="18"/>
      <c r="G142" s="18"/>
      <c r="H142" s="18">
        <f aca="true" t="shared" si="54" ref="H142:W142">IF(ISTEXT(H70),,$G$70)</f>
        <v>0</v>
      </c>
      <c r="I142" s="18">
        <f t="shared" si="54"/>
        <v>0</v>
      </c>
      <c r="J142" s="18">
        <f t="shared" si="54"/>
        <v>0</v>
      </c>
      <c r="K142" s="18">
        <f t="shared" si="54"/>
        <v>0</v>
      </c>
      <c r="L142" s="18">
        <f t="shared" si="54"/>
        <v>0</v>
      </c>
      <c r="M142" s="18">
        <f t="shared" si="54"/>
        <v>2484</v>
      </c>
      <c r="N142" s="18">
        <f t="shared" si="54"/>
        <v>2484</v>
      </c>
      <c r="O142" s="18">
        <f t="shared" si="54"/>
        <v>0</v>
      </c>
      <c r="P142" s="18">
        <f t="shared" si="54"/>
        <v>0</v>
      </c>
      <c r="Q142" s="18">
        <f t="shared" si="54"/>
        <v>0</v>
      </c>
      <c r="R142" s="18">
        <f t="shared" si="54"/>
        <v>0</v>
      </c>
      <c r="S142" s="18">
        <f t="shared" si="54"/>
        <v>0</v>
      </c>
      <c r="T142" s="18">
        <f t="shared" si="54"/>
        <v>0</v>
      </c>
      <c r="U142" s="18">
        <f t="shared" si="54"/>
        <v>0</v>
      </c>
      <c r="V142" s="18">
        <f t="shared" si="54"/>
        <v>0</v>
      </c>
      <c r="W142" s="18">
        <f t="shared" si="54"/>
        <v>0</v>
      </c>
    </row>
    <row r="143" spans="2:23" s="27" customFormat="1" ht="15">
      <c r="B143" s="64" t="str">
        <f t="shared" si="38"/>
        <v>#17</v>
      </c>
      <c r="C143" s="18"/>
      <c r="D143" s="18"/>
      <c r="E143" s="18"/>
      <c r="F143" s="18"/>
      <c r="G143" s="18"/>
      <c r="H143" s="18">
        <f aca="true" t="shared" si="55" ref="H143:W143">IF(ISTEXT(H71),,$G$71)</f>
        <v>0</v>
      </c>
      <c r="I143" s="18">
        <f t="shared" si="55"/>
        <v>0</v>
      </c>
      <c r="J143" s="18">
        <f t="shared" si="55"/>
        <v>0</v>
      </c>
      <c r="K143" s="18">
        <f t="shared" si="55"/>
        <v>0</v>
      </c>
      <c r="L143" s="18">
        <f t="shared" si="55"/>
        <v>0</v>
      </c>
      <c r="M143" s="18">
        <f t="shared" si="55"/>
        <v>2565</v>
      </c>
      <c r="N143" s="18">
        <f t="shared" si="55"/>
        <v>2565</v>
      </c>
      <c r="O143" s="18">
        <f t="shared" si="55"/>
        <v>0</v>
      </c>
      <c r="P143" s="18">
        <f t="shared" si="55"/>
        <v>0</v>
      </c>
      <c r="Q143" s="18">
        <f t="shared" si="55"/>
        <v>0</v>
      </c>
      <c r="R143" s="18">
        <f t="shared" si="55"/>
        <v>0</v>
      </c>
      <c r="S143" s="18">
        <f t="shared" si="55"/>
        <v>0</v>
      </c>
      <c r="T143" s="18">
        <f t="shared" si="55"/>
        <v>0</v>
      </c>
      <c r="U143" s="18">
        <f t="shared" si="55"/>
        <v>0</v>
      </c>
      <c r="V143" s="18">
        <f t="shared" si="55"/>
        <v>0</v>
      </c>
      <c r="W143" s="18">
        <f t="shared" si="55"/>
        <v>0</v>
      </c>
    </row>
    <row r="144" spans="2:23" s="27" customFormat="1" ht="15">
      <c r="B144" s="64" t="str">
        <f t="shared" si="38"/>
        <v>#18</v>
      </c>
      <c r="C144" s="18"/>
      <c r="D144" s="18"/>
      <c r="E144" s="18"/>
      <c r="F144" s="18"/>
      <c r="G144" s="18"/>
      <c r="H144" s="18">
        <f aca="true" t="shared" si="56" ref="H144:W144">IF(ISTEXT(H72),,$G$72)</f>
        <v>0</v>
      </c>
      <c r="I144" s="18">
        <f t="shared" si="56"/>
        <v>0</v>
      </c>
      <c r="J144" s="18">
        <f t="shared" si="56"/>
        <v>0</v>
      </c>
      <c r="K144" s="18">
        <f t="shared" si="56"/>
        <v>0</v>
      </c>
      <c r="L144" s="18">
        <f t="shared" si="56"/>
        <v>0</v>
      </c>
      <c r="M144" s="18">
        <f t="shared" si="56"/>
        <v>2659</v>
      </c>
      <c r="N144" s="18">
        <f t="shared" si="56"/>
        <v>2659</v>
      </c>
      <c r="O144" s="18">
        <f t="shared" si="56"/>
        <v>0</v>
      </c>
      <c r="P144" s="18">
        <f t="shared" si="56"/>
        <v>0</v>
      </c>
      <c r="Q144" s="18">
        <f t="shared" si="56"/>
        <v>0</v>
      </c>
      <c r="R144" s="18">
        <f t="shared" si="56"/>
        <v>0</v>
      </c>
      <c r="S144" s="18">
        <f t="shared" si="56"/>
        <v>0</v>
      </c>
      <c r="T144" s="18">
        <f t="shared" si="56"/>
        <v>0</v>
      </c>
      <c r="U144" s="18">
        <f t="shared" si="56"/>
        <v>0</v>
      </c>
      <c r="V144" s="18">
        <f t="shared" si="56"/>
        <v>0</v>
      </c>
      <c r="W144" s="18">
        <f t="shared" si="56"/>
        <v>0</v>
      </c>
    </row>
    <row r="145" spans="2:23" s="27" customFormat="1" ht="15">
      <c r="B145" s="64" t="str">
        <f t="shared" si="38"/>
        <v>#19</v>
      </c>
      <c r="C145" s="18"/>
      <c r="D145" s="18"/>
      <c r="E145" s="18"/>
      <c r="F145" s="18"/>
      <c r="G145" s="18"/>
      <c r="H145" s="18">
        <f aca="true" t="shared" si="57" ref="H145:W145">IF(ISTEXT(H73),,$G$73)</f>
        <v>0</v>
      </c>
      <c r="I145" s="18">
        <f t="shared" si="57"/>
        <v>0</v>
      </c>
      <c r="J145" s="18">
        <f t="shared" si="57"/>
        <v>0</v>
      </c>
      <c r="K145" s="18">
        <f t="shared" si="57"/>
        <v>0</v>
      </c>
      <c r="L145" s="18">
        <f t="shared" si="57"/>
        <v>0</v>
      </c>
      <c r="M145" s="18">
        <f t="shared" si="57"/>
        <v>0</v>
      </c>
      <c r="N145" s="18">
        <f t="shared" si="57"/>
        <v>0</v>
      </c>
      <c r="O145" s="18">
        <f t="shared" si="57"/>
        <v>0</v>
      </c>
      <c r="P145" s="18">
        <f t="shared" si="57"/>
        <v>0</v>
      </c>
      <c r="Q145" s="18">
        <f t="shared" si="57"/>
        <v>0</v>
      </c>
      <c r="R145" s="18">
        <f t="shared" si="57"/>
        <v>0</v>
      </c>
      <c r="S145" s="18">
        <f t="shared" si="57"/>
        <v>0</v>
      </c>
      <c r="T145" s="18">
        <f t="shared" si="57"/>
        <v>0</v>
      </c>
      <c r="U145" s="18">
        <f t="shared" si="57"/>
        <v>0</v>
      </c>
      <c r="V145" s="18">
        <f t="shared" si="57"/>
        <v>0</v>
      </c>
      <c r="W145" s="18">
        <f t="shared" si="57"/>
        <v>0</v>
      </c>
    </row>
    <row r="146" spans="2:23" s="27" customFormat="1" ht="15">
      <c r="B146" s="64" t="str">
        <f t="shared" si="38"/>
        <v>#20</v>
      </c>
      <c r="C146" s="18"/>
      <c r="D146" s="18"/>
      <c r="E146" s="18"/>
      <c r="F146" s="18"/>
      <c r="G146" s="18"/>
      <c r="H146" s="18">
        <f aca="true" t="shared" si="58" ref="H146:W146">IF(ISTEXT(H74),,$G$74)</f>
        <v>0</v>
      </c>
      <c r="I146" s="18">
        <f t="shared" si="58"/>
        <v>0</v>
      </c>
      <c r="J146" s="18">
        <f t="shared" si="58"/>
        <v>0</v>
      </c>
      <c r="K146" s="18">
        <f t="shared" si="58"/>
        <v>0</v>
      </c>
      <c r="L146" s="18">
        <f t="shared" si="58"/>
        <v>0</v>
      </c>
      <c r="M146" s="18">
        <f t="shared" si="58"/>
        <v>0</v>
      </c>
      <c r="N146" s="18">
        <f t="shared" si="58"/>
        <v>0</v>
      </c>
      <c r="O146" s="18">
        <f t="shared" si="58"/>
        <v>0</v>
      </c>
      <c r="P146" s="18">
        <f t="shared" si="58"/>
        <v>0</v>
      </c>
      <c r="Q146" s="18">
        <f t="shared" si="58"/>
        <v>0</v>
      </c>
      <c r="R146" s="18">
        <f t="shared" si="58"/>
        <v>0</v>
      </c>
      <c r="S146" s="18">
        <f t="shared" si="58"/>
        <v>0</v>
      </c>
      <c r="T146" s="18">
        <f t="shared" si="58"/>
        <v>0</v>
      </c>
      <c r="U146" s="18">
        <f t="shared" si="58"/>
        <v>0</v>
      </c>
      <c r="V146" s="18">
        <f t="shared" si="58"/>
        <v>0</v>
      </c>
      <c r="W146" s="18">
        <f t="shared" si="58"/>
        <v>0</v>
      </c>
    </row>
    <row r="147" spans="2:23" s="27" customFormat="1" ht="15">
      <c r="B147" s="66"/>
      <c r="C147" s="67"/>
      <c r="D147" s="67"/>
      <c r="E147" s="67"/>
      <c r="F147" s="67"/>
      <c r="G147" s="59" t="s">
        <v>196</v>
      </c>
      <c r="H147" s="60">
        <f>SUM(H127:H146)</f>
        <v>16387</v>
      </c>
      <c r="I147" s="60">
        <f aca="true" t="shared" si="59" ref="I147:W147">SUM(I127:I146)</f>
        <v>15225</v>
      </c>
      <c r="J147" s="60">
        <f t="shared" si="59"/>
        <v>12960</v>
      </c>
      <c r="K147" s="60">
        <f t="shared" si="59"/>
        <v>4950</v>
      </c>
      <c r="L147" s="60">
        <f t="shared" si="59"/>
        <v>0</v>
      </c>
      <c r="M147" s="60">
        <f t="shared" si="59"/>
        <v>28697</v>
      </c>
      <c r="N147" s="60">
        <f t="shared" si="59"/>
        <v>25245</v>
      </c>
      <c r="O147" s="60">
        <f t="shared" si="59"/>
        <v>0</v>
      </c>
      <c r="P147" s="60">
        <f t="shared" si="59"/>
        <v>9220</v>
      </c>
      <c r="Q147" s="60">
        <f t="shared" si="59"/>
        <v>14371</v>
      </c>
      <c r="R147" s="60">
        <f t="shared" si="59"/>
        <v>2598</v>
      </c>
      <c r="S147" s="60">
        <f t="shared" si="59"/>
        <v>6037</v>
      </c>
      <c r="T147" s="60">
        <f t="shared" si="59"/>
        <v>0</v>
      </c>
      <c r="U147" s="60">
        <f t="shared" si="59"/>
        <v>0</v>
      </c>
      <c r="V147" s="60">
        <f t="shared" si="59"/>
        <v>0</v>
      </c>
      <c r="W147" s="61">
        <f t="shared" si="59"/>
        <v>0</v>
      </c>
    </row>
    <row r="148" spans="8:23" s="27" customFormat="1" ht="15">
      <c r="H148" s="18"/>
      <c r="I148" s="18"/>
      <c r="J148" s="18"/>
      <c r="K148" s="18"/>
      <c r="L148" s="18"/>
      <c r="M148" s="18"/>
      <c r="N148" s="18"/>
      <c r="O148" s="18"/>
      <c r="P148" s="18"/>
      <c r="Q148" s="18"/>
      <c r="R148" s="18"/>
      <c r="S148" s="18"/>
      <c r="T148" s="18"/>
      <c r="U148" s="18"/>
      <c r="V148" s="18"/>
      <c r="W148" s="18"/>
    </row>
    <row r="149" spans="2:23" s="27" customFormat="1" ht="18" thickBot="1">
      <c r="B149" s="62"/>
      <c r="C149" s="63"/>
      <c r="D149" s="63"/>
      <c r="E149" s="63"/>
      <c r="F149" s="63"/>
      <c r="G149" s="63"/>
      <c r="H149" s="1149" t="s">
        <v>202</v>
      </c>
      <c r="I149" s="1150"/>
      <c r="J149" s="1150"/>
      <c r="K149" s="1150"/>
      <c r="L149" s="1150"/>
      <c r="M149" s="1150"/>
      <c r="N149" s="1150"/>
      <c r="O149" s="1150"/>
      <c r="P149" s="1150"/>
      <c r="Q149" s="1150"/>
      <c r="R149" s="1150"/>
      <c r="S149" s="1150"/>
      <c r="T149" s="1150"/>
      <c r="U149" s="1150"/>
      <c r="V149" s="1150"/>
      <c r="W149" s="1151"/>
    </row>
    <row r="150" spans="2:23" s="27" customFormat="1" ht="15">
      <c r="B150" s="64" t="str">
        <f aca="true" t="shared" si="60" ref="B150:B169">B127</f>
        <v>#1</v>
      </c>
      <c r="C150" s="18"/>
      <c r="D150" s="18"/>
      <c r="E150" s="18"/>
      <c r="F150" s="18"/>
      <c r="G150" s="18"/>
      <c r="H150" s="18">
        <f aca="true" t="shared" si="61" ref="H150:H167">H127^2</f>
        <v>0</v>
      </c>
      <c r="I150" s="18">
        <f aca="true" t="shared" si="62" ref="I150:W150">I127^2</f>
        <v>0</v>
      </c>
      <c r="J150" s="18">
        <f t="shared" si="62"/>
        <v>0</v>
      </c>
      <c r="K150" s="18">
        <f t="shared" si="62"/>
        <v>0</v>
      </c>
      <c r="L150" s="18">
        <f t="shared" si="62"/>
        <v>0</v>
      </c>
      <c r="M150" s="18">
        <f t="shared" si="62"/>
        <v>0</v>
      </c>
      <c r="N150" s="18">
        <f t="shared" si="62"/>
        <v>0</v>
      </c>
      <c r="O150" s="18">
        <f t="shared" si="62"/>
        <v>0</v>
      </c>
      <c r="P150" s="18">
        <f t="shared" si="62"/>
        <v>0</v>
      </c>
      <c r="Q150" s="18">
        <f t="shared" si="62"/>
        <v>0</v>
      </c>
      <c r="R150" s="18">
        <f t="shared" si="62"/>
        <v>0</v>
      </c>
      <c r="S150" s="18">
        <f t="shared" si="62"/>
        <v>0</v>
      </c>
      <c r="T150" s="18">
        <f t="shared" si="62"/>
        <v>0</v>
      </c>
      <c r="U150" s="18">
        <f t="shared" si="62"/>
        <v>0</v>
      </c>
      <c r="V150" s="18">
        <f t="shared" si="62"/>
        <v>0</v>
      </c>
      <c r="W150" s="65">
        <f t="shared" si="62"/>
        <v>0</v>
      </c>
    </row>
    <row r="151" spans="2:23" s="27" customFormat="1" ht="15">
      <c r="B151" s="64" t="str">
        <f t="shared" si="60"/>
        <v>#2</v>
      </c>
      <c r="C151" s="18"/>
      <c r="D151" s="18"/>
      <c r="E151" s="18"/>
      <c r="F151" s="18"/>
      <c r="G151" s="18"/>
      <c r="H151" s="18">
        <f t="shared" si="61"/>
        <v>3600</v>
      </c>
      <c r="I151" s="18">
        <f aca="true" t="shared" si="63" ref="I151:W151">I128^2</f>
        <v>3600</v>
      </c>
      <c r="J151" s="18">
        <f t="shared" si="63"/>
        <v>3600</v>
      </c>
      <c r="K151" s="18">
        <f t="shared" si="63"/>
        <v>3600</v>
      </c>
      <c r="L151" s="18">
        <f t="shared" si="63"/>
        <v>0</v>
      </c>
      <c r="M151" s="18">
        <f t="shared" si="63"/>
        <v>0</v>
      </c>
      <c r="N151" s="18">
        <f t="shared" si="63"/>
        <v>0</v>
      </c>
      <c r="O151" s="18">
        <f t="shared" si="63"/>
        <v>0</v>
      </c>
      <c r="P151" s="18">
        <f t="shared" si="63"/>
        <v>3600</v>
      </c>
      <c r="Q151" s="18">
        <f t="shared" si="63"/>
        <v>3600</v>
      </c>
      <c r="R151" s="18">
        <f t="shared" si="63"/>
        <v>0</v>
      </c>
      <c r="S151" s="18">
        <f t="shared" si="63"/>
        <v>0</v>
      </c>
      <c r="T151" s="18">
        <f t="shared" si="63"/>
        <v>0</v>
      </c>
      <c r="U151" s="18">
        <f t="shared" si="63"/>
        <v>0</v>
      </c>
      <c r="V151" s="18">
        <f t="shared" si="63"/>
        <v>0</v>
      </c>
      <c r="W151" s="65">
        <f t="shared" si="63"/>
        <v>0</v>
      </c>
    </row>
    <row r="152" spans="2:23" s="27" customFormat="1" ht="15">
      <c r="B152" s="64" t="str">
        <f t="shared" si="60"/>
        <v>#3</v>
      </c>
      <c r="C152" s="18"/>
      <c r="D152" s="18"/>
      <c r="E152" s="18"/>
      <c r="F152" s="18"/>
      <c r="G152" s="18"/>
      <c r="H152" s="18">
        <f t="shared" si="61"/>
        <v>35721</v>
      </c>
      <c r="I152" s="18">
        <f aca="true" t="shared" si="64" ref="I152:W152">I129^2</f>
        <v>35721</v>
      </c>
      <c r="J152" s="18">
        <f t="shared" si="64"/>
        <v>35721</v>
      </c>
      <c r="K152" s="18">
        <f t="shared" si="64"/>
        <v>35721</v>
      </c>
      <c r="L152" s="18">
        <f t="shared" si="64"/>
        <v>0</v>
      </c>
      <c r="M152" s="18">
        <f t="shared" si="64"/>
        <v>35721</v>
      </c>
      <c r="N152" s="18">
        <f t="shared" si="64"/>
        <v>0</v>
      </c>
      <c r="O152" s="18">
        <f t="shared" si="64"/>
        <v>0</v>
      </c>
      <c r="P152" s="18">
        <f t="shared" si="64"/>
        <v>0</v>
      </c>
      <c r="Q152" s="18">
        <f t="shared" si="64"/>
        <v>35721</v>
      </c>
      <c r="R152" s="18">
        <f t="shared" si="64"/>
        <v>35721</v>
      </c>
      <c r="S152" s="18">
        <f t="shared" si="64"/>
        <v>0</v>
      </c>
      <c r="T152" s="18">
        <f t="shared" si="64"/>
        <v>0</v>
      </c>
      <c r="U152" s="18">
        <f t="shared" si="64"/>
        <v>0</v>
      </c>
      <c r="V152" s="18">
        <f t="shared" si="64"/>
        <v>0</v>
      </c>
      <c r="W152" s="65">
        <f t="shared" si="64"/>
        <v>0</v>
      </c>
    </row>
    <row r="153" spans="2:23" s="27" customFormat="1" ht="15">
      <c r="B153" s="64" t="str">
        <f t="shared" si="60"/>
        <v>#4</v>
      </c>
      <c r="C153" s="18"/>
      <c r="D153" s="18"/>
      <c r="E153" s="18"/>
      <c r="F153" s="18"/>
      <c r="G153" s="18"/>
      <c r="H153" s="18">
        <f t="shared" si="61"/>
        <v>313600</v>
      </c>
      <c r="I153" s="18">
        <f aca="true" t="shared" si="65" ref="I153:W153">I130^2</f>
        <v>313600</v>
      </c>
      <c r="J153" s="18">
        <f t="shared" si="65"/>
        <v>313600</v>
      </c>
      <c r="K153" s="18">
        <f t="shared" si="65"/>
        <v>313600</v>
      </c>
      <c r="L153" s="18">
        <f t="shared" si="65"/>
        <v>0</v>
      </c>
      <c r="M153" s="18">
        <f t="shared" si="65"/>
        <v>313600</v>
      </c>
      <c r="N153" s="18">
        <f t="shared" si="65"/>
        <v>313600</v>
      </c>
      <c r="O153" s="18">
        <f t="shared" si="65"/>
        <v>0</v>
      </c>
      <c r="P153" s="18">
        <f t="shared" si="65"/>
        <v>313600</v>
      </c>
      <c r="Q153" s="18">
        <f t="shared" si="65"/>
        <v>313600</v>
      </c>
      <c r="R153" s="18">
        <f t="shared" si="65"/>
        <v>0</v>
      </c>
      <c r="S153" s="18">
        <f t="shared" si="65"/>
        <v>313600</v>
      </c>
      <c r="T153" s="18">
        <f t="shared" si="65"/>
        <v>0</v>
      </c>
      <c r="U153" s="18">
        <f t="shared" si="65"/>
        <v>0</v>
      </c>
      <c r="V153" s="18">
        <f t="shared" si="65"/>
        <v>0</v>
      </c>
      <c r="W153" s="65">
        <f t="shared" si="65"/>
        <v>0</v>
      </c>
    </row>
    <row r="154" spans="2:23" s="27" customFormat="1" ht="15">
      <c r="B154" s="64" t="str">
        <f t="shared" si="60"/>
        <v>#5</v>
      </c>
      <c r="C154" s="18"/>
      <c r="D154" s="18"/>
      <c r="E154" s="18"/>
      <c r="F154" s="18"/>
      <c r="G154" s="18"/>
      <c r="H154" s="18">
        <f t="shared" si="61"/>
        <v>1350244</v>
      </c>
      <c r="I154" s="18">
        <f aca="true" t="shared" si="66" ref="I154:W154">I131^2</f>
        <v>0</v>
      </c>
      <c r="J154" s="18">
        <f t="shared" si="66"/>
        <v>1350244</v>
      </c>
      <c r="K154" s="18">
        <f t="shared" si="66"/>
        <v>1350244</v>
      </c>
      <c r="L154" s="18">
        <f t="shared" si="66"/>
        <v>0</v>
      </c>
      <c r="M154" s="18">
        <f t="shared" si="66"/>
        <v>1350244</v>
      </c>
      <c r="N154" s="18">
        <f t="shared" si="66"/>
        <v>1350244</v>
      </c>
      <c r="O154" s="18">
        <f t="shared" si="66"/>
        <v>0</v>
      </c>
      <c r="P154" s="18">
        <f t="shared" si="66"/>
        <v>0</v>
      </c>
      <c r="Q154" s="18">
        <f t="shared" si="66"/>
        <v>1350244</v>
      </c>
      <c r="R154" s="18">
        <f t="shared" si="66"/>
        <v>1350244</v>
      </c>
      <c r="S154" s="18">
        <f t="shared" si="66"/>
        <v>1350244</v>
      </c>
      <c r="T154" s="18">
        <f t="shared" si="66"/>
        <v>0</v>
      </c>
      <c r="U154" s="18">
        <f t="shared" si="66"/>
        <v>0</v>
      </c>
      <c r="V154" s="18">
        <f t="shared" si="66"/>
        <v>0</v>
      </c>
      <c r="W154" s="65">
        <f t="shared" si="66"/>
        <v>0</v>
      </c>
    </row>
    <row r="155" spans="2:23" s="27" customFormat="1" ht="15">
      <c r="B155" s="64" t="str">
        <f t="shared" si="60"/>
        <v>#6</v>
      </c>
      <c r="C155" s="18"/>
      <c r="D155" s="18"/>
      <c r="E155" s="18"/>
      <c r="F155" s="18"/>
      <c r="G155" s="18"/>
      <c r="H155" s="18">
        <f t="shared" si="61"/>
        <v>1555009</v>
      </c>
      <c r="I155" s="18">
        <f aca="true" t="shared" si="67" ref="I155:W155">I132^2</f>
        <v>1555009</v>
      </c>
      <c r="J155" s="18">
        <f t="shared" si="67"/>
        <v>0</v>
      </c>
      <c r="K155" s="18">
        <f t="shared" si="67"/>
        <v>1555009</v>
      </c>
      <c r="L155" s="18">
        <f t="shared" si="67"/>
        <v>0</v>
      </c>
      <c r="M155" s="18">
        <f t="shared" si="67"/>
        <v>1555009</v>
      </c>
      <c r="N155" s="18">
        <f t="shared" si="67"/>
        <v>0</v>
      </c>
      <c r="O155" s="18">
        <f t="shared" si="67"/>
        <v>0</v>
      </c>
      <c r="P155" s="18">
        <f t="shared" si="67"/>
        <v>1555009</v>
      </c>
      <c r="Q155" s="18">
        <f t="shared" si="67"/>
        <v>1555009</v>
      </c>
      <c r="R155" s="18">
        <f t="shared" si="67"/>
        <v>1555009</v>
      </c>
      <c r="S155" s="18">
        <f t="shared" si="67"/>
        <v>1555009</v>
      </c>
      <c r="T155" s="18">
        <f t="shared" si="67"/>
        <v>0</v>
      </c>
      <c r="U155" s="18">
        <f t="shared" si="67"/>
        <v>0</v>
      </c>
      <c r="V155" s="18">
        <f t="shared" si="67"/>
        <v>0</v>
      </c>
      <c r="W155" s="65">
        <f t="shared" si="67"/>
        <v>0</v>
      </c>
    </row>
    <row r="156" spans="2:23" s="27" customFormat="1" ht="15">
      <c r="B156" s="64" t="str">
        <f t="shared" si="60"/>
        <v>#7</v>
      </c>
      <c r="C156" s="18"/>
      <c r="D156" s="18"/>
      <c r="E156" s="18"/>
      <c r="F156" s="18"/>
      <c r="G156" s="18"/>
      <c r="H156" s="18">
        <f t="shared" si="61"/>
        <v>1784896</v>
      </c>
      <c r="I156" s="18">
        <f aca="true" t="shared" si="68" ref="I156:W156">I133^2</f>
        <v>1784896</v>
      </c>
      <c r="J156" s="18">
        <f t="shared" si="68"/>
        <v>1784896</v>
      </c>
      <c r="K156" s="18">
        <f t="shared" si="68"/>
        <v>0</v>
      </c>
      <c r="L156" s="18">
        <f t="shared" si="68"/>
        <v>0</v>
      </c>
      <c r="M156" s="18">
        <f t="shared" si="68"/>
        <v>1784896</v>
      </c>
      <c r="N156" s="18">
        <f t="shared" si="68"/>
        <v>1784896</v>
      </c>
      <c r="O156" s="18">
        <f t="shared" si="68"/>
        <v>0</v>
      </c>
      <c r="P156" s="18">
        <f t="shared" si="68"/>
        <v>1784896</v>
      </c>
      <c r="Q156" s="18">
        <f t="shared" si="68"/>
        <v>1784896</v>
      </c>
      <c r="R156" s="18">
        <f t="shared" si="68"/>
        <v>0</v>
      </c>
      <c r="S156" s="18">
        <f t="shared" si="68"/>
        <v>1784896</v>
      </c>
      <c r="T156" s="18">
        <f t="shared" si="68"/>
        <v>0</v>
      </c>
      <c r="U156" s="18">
        <f t="shared" si="68"/>
        <v>0</v>
      </c>
      <c r="V156" s="18">
        <f t="shared" si="68"/>
        <v>0</v>
      </c>
      <c r="W156" s="65">
        <f t="shared" si="68"/>
        <v>0</v>
      </c>
    </row>
    <row r="157" spans="2:23" s="27" customFormat="1" ht="15">
      <c r="B157" s="64" t="str">
        <f t="shared" si="60"/>
        <v>#8</v>
      </c>
      <c r="C157" s="18"/>
      <c r="D157" s="18"/>
      <c r="E157" s="18"/>
      <c r="F157" s="18"/>
      <c r="G157" s="18"/>
      <c r="H157" s="18">
        <f t="shared" si="61"/>
        <v>2999824</v>
      </c>
      <c r="I157" s="18">
        <f aca="true" t="shared" si="69" ref="I157:W157">I134^2</f>
        <v>2999824</v>
      </c>
      <c r="J157" s="18">
        <f t="shared" si="69"/>
        <v>2999824</v>
      </c>
      <c r="K157" s="18">
        <f t="shared" si="69"/>
        <v>2999824</v>
      </c>
      <c r="L157" s="18">
        <f t="shared" si="69"/>
        <v>0</v>
      </c>
      <c r="M157" s="18">
        <f t="shared" si="69"/>
        <v>2999824</v>
      </c>
      <c r="N157" s="18">
        <f t="shared" si="69"/>
        <v>2999824</v>
      </c>
      <c r="O157" s="18">
        <f t="shared" si="69"/>
        <v>0</v>
      </c>
      <c r="P157" s="18">
        <f t="shared" si="69"/>
        <v>2999824</v>
      </c>
      <c r="Q157" s="18">
        <f t="shared" si="69"/>
        <v>2999824</v>
      </c>
      <c r="R157" s="18">
        <f t="shared" si="69"/>
        <v>0</v>
      </c>
      <c r="S157" s="18">
        <f t="shared" si="69"/>
        <v>2999824</v>
      </c>
      <c r="T157" s="18">
        <f t="shared" si="69"/>
        <v>0</v>
      </c>
      <c r="U157" s="18">
        <f t="shared" si="69"/>
        <v>0</v>
      </c>
      <c r="V157" s="18">
        <f t="shared" si="69"/>
        <v>0</v>
      </c>
      <c r="W157" s="65">
        <f t="shared" si="69"/>
        <v>0</v>
      </c>
    </row>
    <row r="158" spans="2:23" s="27" customFormat="1" ht="15">
      <c r="B158" s="64" t="str">
        <f t="shared" si="60"/>
        <v>#9</v>
      </c>
      <c r="C158" s="18"/>
      <c r="D158" s="18"/>
      <c r="E158" s="18"/>
      <c r="F158" s="18"/>
      <c r="G158" s="18"/>
      <c r="H158" s="18">
        <f t="shared" si="61"/>
        <v>3389281</v>
      </c>
      <c r="I158" s="18">
        <f aca="true" t="shared" si="70" ref="I158:W158">I135^2</f>
        <v>3389281</v>
      </c>
      <c r="J158" s="18">
        <f t="shared" si="70"/>
        <v>3389281</v>
      </c>
      <c r="K158" s="18">
        <f t="shared" si="70"/>
        <v>0</v>
      </c>
      <c r="L158" s="18">
        <f t="shared" si="70"/>
        <v>0</v>
      </c>
      <c r="M158" s="18">
        <f t="shared" si="70"/>
        <v>3389281</v>
      </c>
      <c r="N158" s="18">
        <f t="shared" si="70"/>
        <v>3389281</v>
      </c>
      <c r="O158" s="18">
        <f t="shared" si="70"/>
        <v>0</v>
      </c>
      <c r="P158" s="18">
        <f t="shared" si="70"/>
        <v>0</v>
      </c>
      <c r="Q158" s="18">
        <f t="shared" si="70"/>
        <v>3389281</v>
      </c>
      <c r="R158" s="18">
        <f t="shared" si="70"/>
        <v>0</v>
      </c>
      <c r="S158" s="18">
        <f t="shared" si="70"/>
        <v>0</v>
      </c>
      <c r="T158" s="18">
        <f t="shared" si="70"/>
        <v>0</v>
      </c>
      <c r="U158" s="18">
        <f t="shared" si="70"/>
        <v>0</v>
      </c>
      <c r="V158" s="18">
        <f t="shared" si="70"/>
        <v>0</v>
      </c>
      <c r="W158" s="65">
        <f t="shared" si="70"/>
        <v>0</v>
      </c>
    </row>
    <row r="159" spans="2:23" s="27" customFormat="1" ht="15">
      <c r="B159" s="64" t="str">
        <f t="shared" si="60"/>
        <v>#10</v>
      </c>
      <c r="C159" s="18"/>
      <c r="D159" s="18"/>
      <c r="E159" s="18"/>
      <c r="F159" s="18"/>
      <c r="G159" s="18"/>
      <c r="H159" s="18">
        <f t="shared" si="61"/>
        <v>3837681</v>
      </c>
      <c r="I159" s="18">
        <f aca="true" t="shared" si="71" ref="I159:W159">I136^2</f>
        <v>3837681</v>
      </c>
      <c r="J159" s="18">
        <f t="shared" si="71"/>
        <v>3837681</v>
      </c>
      <c r="K159" s="18">
        <f t="shared" si="71"/>
        <v>0</v>
      </c>
      <c r="L159" s="18">
        <f t="shared" si="71"/>
        <v>0</v>
      </c>
      <c r="M159" s="18">
        <f t="shared" si="71"/>
        <v>3837681</v>
      </c>
      <c r="N159" s="18">
        <f t="shared" si="71"/>
        <v>3837681</v>
      </c>
      <c r="O159" s="18">
        <f t="shared" si="71"/>
        <v>0</v>
      </c>
      <c r="P159" s="18">
        <f t="shared" si="71"/>
        <v>0</v>
      </c>
      <c r="Q159" s="18">
        <f t="shared" si="71"/>
        <v>3837681</v>
      </c>
      <c r="R159" s="18">
        <f t="shared" si="71"/>
        <v>0</v>
      </c>
      <c r="S159" s="18">
        <f t="shared" si="71"/>
        <v>0</v>
      </c>
      <c r="T159" s="18">
        <f t="shared" si="71"/>
        <v>0</v>
      </c>
      <c r="U159" s="18">
        <f t="shared" si="71"/>
        <v>0</v>
      </c>
      <c r="V159" s="18">
        <f t="shared" si="71"/>
        <v>0</v>
      </c>
      <c r="W159" s="65">
        <f t="shared" si="71"/>
        <v>0</v>
      </c>
    </row>
    <row r="160" spans="2:23" s="27" customFormat="1" ht="15">
      <c r="B160" s="64" t="str">
        <f t="shared" si="60"/>
        <v>#11</v>
      </c>
      <c r="C160" s="18"/>
      <c r="D160" s="18"/>
      <c r="E160" s="18"/>
      <c r="F160" s="18"/>
      <c r="G160" s="18"/>
      <c r="H160" s="18">
        <f t="shared" si="61"/>
        <v>4064256</v>
      </c>
      <c r="I160" s="18">
        <f aca="true" t="shared" si="72" ref="I160:W160">I137^2</f>
        <v>4064256</v>
      </c>
      <c r="J160" s="18">
        <f t="shared" si="72"/>
        <v>4064256</v>
      </c>
      <c r="K160" s="18">
        <f t="shared" si="72"/>
        <v>0</v>
      </c>
      <c r="L160" s="18">
        <f t="shared" si="72"/>
        <v>0</v>
      </c>
      <c r="M160" s="18">
        <f t="shared" si="72"/>
        <v>4064256</v>
      </c>
      <c r="N160" s="18">
        <f t="shared" si="72"/>
        <v>0</v>
      </c>
      <c r="O160" s="18">
        <f t="shared" si="72"/>
        <v>0</v>
      </c>
      <c r="P160" s="18">
        <f t="shared" si="72"/>
        <v>0</v>
      </c>
      <c r="Q160" s="18">
        <f t="shared" si="72"/>
        <v>0</v>
      </c>
      <c r="R160" s="18">
        <f t="shared" si="72"/>
        <v>0</v>
      </c>
      <c r="S160" s="18">
        <f t="shared" si="72"/>
        <v>0</v>
      </c>
      <c r="T160" s="18">
        <f t="shared" si="72"/>
        <v>0</v>
      </c>
      <c r="U160" s="18">
        <f t="shared" si="72"/>
        <v>0</v>
      </c>
      <c r="V160" s="18">
        <f t="shared" si="72"/>
        <v>0</v>
      </c>
      <c r="W160" s="65">
        <f t="shared" si="72"/>
        <v>0</v>
      </c>
    </row>
    <row r="161" spans="2:23" s="27" customFormat="1" ht="15">
      <c r="B161" s="64" t="str">
        <f t="shared" si="60"/>
        <v>#12</v>
      </c>
      <c r="C161" s="18"/>
      <c r="D161" s="18"/>
      <c r="E161" s="18"/>
      <c r="F161" s="18"/>
      <c r="G161" s="18"/>
      <c r="H161" s="18">
        <f t="shared" si="61"/>
        <v>4431025</v>
      </c>
      <c r="I161" s="18">
        <f aca="true" t="shared" si="73" ref="I161:W161">I138^2</f>
        <v>4431025</v>
      </c>
      <c r="J161" s="18">
        <f t="shared" si="73"/>
        <v>4431025</v>
      </c>
      <c r="K161" s="18">
        <f t="shared" si="73"/>
        <v>0</v>
      </c>
      <c r="L161" s="18">
        <f t="shared" si="73"/>
        <v>0</v>
      </c>
      <c r="M161" s="18">
        <f t="shared" si="73"/>
        <v>4431025</v>
      </c>
      <c r="N161" s="18">
        <f t="shared" si="73"/>
        <v>4431025</v>
      </c>
      <c r="O161" s="18">
        <f t="shared" si="73"/>
        <v>0</v>
      </c>
      <c r="P161" s="18">
        <f t="shared" si="73"/>
        <v>4431025</v>
      </c>
      <c r="Q161" s="18">
        <f t="shared" si="73"/>
        <v>4431025</v>
      </c>
      <c r="R161" s="18">
        <f t="shared" si="73"/>
        <v>0</v>
      </c>
      <c r="S161" s="18">
        <f t="shared" si="73"/>
        <v>0</v>
      </c>
      <c r="T161" s="18">
        <f t="shared" si="73"/>
        <v>0</v>
      </c>
      <c r="U161" s="18">
        <f t="shared" si="73"/>
        <v>0</v>
      </c>
      <c r="V161" s="18">
        <f t="shared" si="73"/>
        <v>0</v>
      </c>
      <c r="W161" s="65">
        <f t="shared" si="73"/>
        <v>0</v>
      </c>
    </row>
    <row r="162" spans="2:23" s="27" customFormat="1" ht="15">
      <c r="B162" s="64" t="str">
        <f t="shared" si="60"/>
        <v>#13</v>
      </c>
      <c r="C162" s="18"/>
      <c r="D162" s="18"/>
      <c r="E162" s="18"/>
      <c r="F162" s="18"/>
      <c r="G162" s="18"/>
      <c r="H162" s="18">
        <f t="shared" si="61"/>
        <v>4752400</v>
      </c>
      <c r="I162" s="18">
        <f aca="true" t="shared" si="74" ref="I162:W162">I139^2</f>
        <v>4752400</v>
      </c>
      <c r="J162" s="18">
        <f t="shared" si="74"/>
        <v>0</v>
      </c>
      <c r="K162" s="18">
        <f t="shared" si="74"/>
        <v>0</v>
      </c>
      <c r="L162" s="18">
        <f t="shared" si="74"/>
        <v>0</v>
      </c>
      <c r="M162" s="18">
        <f t="shared" si="74"/>
        <v>4752400</v>
      </c>
      <c r="N162" s="18">
        <f t="shared" si="74"/>
        <v>4752400</v>
      </c>
      <c r="O162" s="18">
        <f t="shared" si="74"/>
        <v>0</v>
      </c>
      <c r="P162" s="18">
        <f t="shared" si="74"/>
        <v>4752400</v>
      </c>
      <c r="Q162" s="18">
        <f t="shared" si="74"/>
        <v>4752400</v>
      </c>
      <c r="R162" s="18">
        <f t="shared" si="74"/>
        <v>0</v>
      </c>
      <c r="S162" s="18">
        <f t="shared" si="74"/>
        <v>0</v>
      </c>
      <c r="T162" s="18">
        <f t="shared" si="74"/>
        <v>0</v>
      </c>
      <c r="U162" s="18">
        <f t="shared" si="74"/>
        <v>0</v>
      </c>
      <c r="V162" s="18">
        <f t="shared" si="74"/>
        <v>0</v>
      </c>
      <c r="W162" s="65">
        <f t="shared" si="74"/>
        <v>0</v>
      </c>
    </row>
    <row r="163" spans="2:23" s="27" customFormat="1" ht="15">
      <c r="B163" s="64" t="str">
        <f t="shared" si="60"/>
        <v>#14</v>
      </c>
      <c r="C163" s="18"/>
      <c r="D163" s="18"/>
      <c r="E163" s="18"/>
      <c r="F163" s="18"/>
      <c r="G163" s="18"/>
      <c r="H163" s="18">
        <f t="shared" si="61"/>
        <v>0</v>
      </c>
      <c r="I163" s="18">
        <f aca="true" t="shared" si="75" ref="I163:W163">I140^2</f>
        <v>0</v>
      </c>
      <c r="J163" s="18">
        <f t="shared" si="75"/>
        <v>0</v>
      </c>
      <c r="K163" s="18">
        <f t="shared" si="75"/>
        <v>0</v>
      </c>
      <c r="L163" s="18">
        <f t="shared" si="75"/>
        <v>0</v>
      </c>
      <c r="M163" s="18">
        <f t="shared" si="75"/>
        <v>5253264</v>
      </c>
      <c r="N163" s="18">
        <f t="shared" si="75"/>
        <v>5253264</v>
      </c>
      <c r="O163" s="18">
        <f t="shared" si="75"/>
        <v>0</v>
      </c>
      <c r="P163" s="18">
        <f t="shared" si="75"/>
        <v>0</v>
      </c>
      <c r="Q163" s="18">
        <f t="shared" si="75"/>
        <v>0</v>
      </c>
      <c r="R163" s="18">
        <f t="shared" si="75"/>
        <v>0</v>
      </c>
      <c r="S163" s="18">
        <f t="shared" si="75"/>
        <v>0</v>
      </c>
      <c r="T163" s="18">
        <f t="shared" si="75"/>
        <v>0</v>
      </c>
      <c r="U163" s="18">
        <f t="shared" si="75"/>
        <v>0</v>
      </c>
      <c r="V163" s="18">
        <f t="shared" si="75"/>
        <v>0</v>
      </c>
      <c r="W163" s="65">
        <f t="shared" si="75"/>
        <v>0</v>
      </c>
    </row>
    <row r="164" spans="2:23" s="27" customFormat="1" ht="15">
      <c r="B164" s="64" t="str">
        <f t="shared" si="60"/>
        <v>#15</v>
      </c>
      <c r="C164" s="18"/>
      <c r="D164" s="18"/>
      <c r="E164" s="18"/>
      <c r="F164" s="18"/>
      <c r="G164" s="18"/>
      <c r="H164" s="18">
        <f t="shared" si="61"/>
        <v>0</v>
      </c>
      <c r="I164" s="18">
        <f aca="true" t="shared" si="76" ref="I164:W164">I141^2</f>
        <v>0</v>
      </c>
      <c r="J164" s="18">
        <f t="shared" si="76"/>
        <v>0</v>
      </c>
      <c r="K164" s="18">
        <f t="shared" si="76"/>
        <v>0</v>
      </c>
      <c r="L164" s="18">
        <f t="shared" si="76"/>
        <v>0</v>
      </c>
      <c r="M164" s="18">
        <f t="shared" si="76"/>
        <v>5616900</v>
      </c>
      <c r="N164" s="18">
        <f t="shared" si="76"/>
        <v>5616900</v>
      </c>
      <c r="O164" s="18">
        <f t="shared" si="76"/>
        <v>0</v>
      </c>
      <c r="P164" s="18">
        <f t="shared" si="76"/>
        <v>0</v>
      </c>
      <c r="Q164" s="18">
        <f t="shared" si="76"/>
        <v>0</v>
      </c>
      <c r="R164" s="18">
        <f t="shared" si="76"/>
        <v>0</v>
      </c>
      <c r="S164" s="18">
        <f t="shared" si="76"/>
        <v>0</v>
      </c>
      <c r="T164" s="18">
        <f t="shared" si="76"/>
        <v>0</v>
      </c>
      <c r="U164" s="18">
        <f t="shared" si="76"/>
        <v>0</v>
      </c>
      <c r="V164" s="18">
        <f t="shared" si="76"/>
        <v>0</v>
      </c>
      <c r="W164" s="65">
        <f t="shared" si="76"/>
        <v>0</v>
      </c>
    </row>
    <row r="165" spans="2:23" s="27" customFormat="1" ht="15">
      <c r="B165" s="64" t="str">
        <f t="shared" si="60"/>
        <v>#16</v>
      </c>
      <c r="C165" s="18"/>
      <c r="D165" s="18"/>
      <c r="E165" s="18"/>
      <c r="F165" s="18"/>
      <c r="G165" s="18"/>
      <c r="H165" s="18">
        <f t="shared" si="61"/>
        <v>0</v>
      </c>
      <c r="I165" s="18">
        <f aca="true" t="shared" si="77" ref="I165:W165">I142^2</f>
        <v>0</v>
      </c>
      <c r="J165" s="18">
        <f t="shared" si="77"/>
        <v>0</v>
      </c>
      <c r="K165" s="18">
        <f t="shared" si="77"/>
        <v>0</v>
      </c>
      <c r="L165" s="18">
        <f t="shared" si="77"/>
        <v>0</v>
      </c>
      <c r="M165" s="18">
        <f t="shared" si="77"/>
        <v>6170256</v>
      </c>
      <c r="N165" s="18">
        <f t="shared" si="77"/>
        <v>6170256</v>
      </c>
      <c r="O165" s="18">
        <f t="shared" si="77"/>
        <v>0</v>
      </c>
      <c r="P165" s="18">
        <f t="shared" si="77"/>
        <v>0</v>
      </c>
      <c r="Q165" s="18">
        <f t="shared" si="77"/>
        <v>0</v>
      </c>
      <c r="R165" s="18">
        <f t="shared" si="77"/>
        <v>0</v>
      </c>
      <c r="S165" s="18">
        <f t="shared" si="77"/>
        <v>0</v>
      </c>
      <c r="T165" s="18">
        <f t="shared" si="77"/>
        <v>0</v>
      </c>
      <c r="U165" s="18">
        <f t="shared" si="77"/>
        <v>0</v>
      </c>
      <c r="V165" s="18">
        <f t="shared" si="77"/>
        <v>0</v>
      </c>
      <c r="W165" s="65">
        <f t="shared" si="77"/>
        <v>0</v>
      </c>
    </row>
    <row r="166" spans="2:23" s="27" customFormat="1" ht="15">
      <c r="B166" s="64" t="str">
        <f t="shared" si="60"/>
        <v>#17</v>
      </c>
      <c r="C166" s="18"/>
      <c r="D166" s="18"/>
      <c r="E166" s="18"/>
      <c r="F166" s="18"/>
      <c r="G166" s="18"/>
      <c r="H166" s="18">
        <f t="shared" si="61"/>
        <v>0</v>
      </c>
      <c r="I166" s="18">
        <f aca="true" t="shared" si="78" ref="I166:W166">I143^2</f>
        <v>0</v>
      </c>
      <c r="J166" s="18">
        <f t="shared" si="78"/>
        <v>0</v>
      </c>
      <c r="K166" s="18">
        <f t="shared" si="78"/>
        <v>0</v>
      </c>
      <c r="L166" s="18">
        <f t="shared" si="78"/>
        <v>0</v>
      </c>
      <c r="M166" s="18">
        <f t="shared" si="78"/>
        <v>6579225</v>
      </c>
      <c r="N166" s="18">
        <f t="shared" si="78"/>
        <v>6579225</v>
      </c>
      <c r="O166" s="18">
        <f t="shared" si="78"/>
        <v>0</v>
      </c>
      <c r="P166" s="18">
        <f t="shared" si="78"/>
        <v>0</v>
      </c>
      <c r="Q166" s="18">
        <f t="shared" si="78"/>
        <v>0</v>
      </c>
      <c r="R166" s="18">
        <f t="shared" si="78"/>
        <v>0</v>
      </c>
      <c r="S166" s="18">
        <f t="shared" si="78"/>
        <v>0</v>
      </c>
      <c r="T166" s="18">
        <f t="shared" si="78"/>
        <v>0</v>
      </c>
      <c r="U166" s="18">
        <f t="shared" si="78"/>
        <v>0</v>
      </c>
      <c r="V166" s="18">
        <f t="shared" si="78"/>
        <v>0</v>
      </c>
      <c r="W166" s="65">
        <f t="shared" si="78"/>
        <v>0</v>
      </c>
    </row>
    <row r="167" spans="2:23" s="27" customFormat="1" ht="15">
      <c r="B167" s="64" t="str">
        <f t="shared" si="60"/>
        <v>#18</v>
      </c>
      <c r="C167" s="18"/>
      <c r="D167" s="18"/>
      <c r="E167" s="18"/>
      <c r="F167" s="18"/>
      <c r="G167" s="18"/>
      <c r="H167" s="18">
        <f t="shared" si="61"/>
        <v>0</v>
      </c>
      <c r="I167" s="18">
        <f aca="true" t="shared" si="79" ref="I167:W167">I144^2</f>
        <v>0</v>
      </c>
      <c r="J167" s="18">
        <f t="shared" si="79"/>
        <v>0</v>
      </c>
      <c r="K167" s="18">
        <f t="shared" si="79"/>
        <v>0</v>
      </c>
      <c r="L167" s="18">
        <f t="shared" si="79"/>
        <v>0</v>
      </c>
      <c r="M167" s="18">
        <f t="shared" si="79"/>
        <v>7070281</v>
      </c>
      <c r="N167" s="18">
        <f t="shared" si="79"/>
        <v>7070281</v>
      </c>
      <c r="O167" s="18">
        <f t="shared" si="79"/>
        <v>0</v>
      </c>
      <c r="P167" s="18">
        <f t="shared" si="79"/>
        <v>0</v>
      </c>
      <c r="Q167" s="18">
        <f t="shared" si="79"/>
        <v>0</v>
      </c>
      <c r="R167" s="18">
        <f t="shared" si="79"/>
        <v>0</v>
      </c>
      <c r="S167" s="18">
        <f t="shared" si="79"/>
        <v>0</v>
      </c>
      <c r="T167" s="18">
        <f t="shared" si="79"/>
        <v>0</v>
      </c>
      <c r="U167" s="18">
        <f t="shared" si="79"/>
        <v>0</v>
      </c>
      <c r="V167" s="18">
        <f t="shared" si="79"/>
        <v>0</v>
      </c>
      <c r="W167" s="65">
        <f t="shared" si="79"/>
        <v>0</v>
      </c>
    </row>
    <row r="168" spans="2:23" s="27" customFormat="1" ht="15">
      <c r="B168" s="64" t="str">
        <f t="shared" si="60"/>
        <v>#19</v>
      </c>
      <c r="C168" s="18"/>
      <c r="D168" s="18"/>
      <c r="E168" s="18"/>
      <c r="F168" s="18"/>
      <c r="G168" s="18"/>
      <c r="H168" s="18">
        <f aca="true" t="shared" si="80" ref="H168:W168">H145^2</f>
        <v>0</v>
      </c>
      <c r="I168" s="18">
        <f t="shared" si="80"/>
        <v>0</v>
      </c>
      <c r="J168" s="18">
        <f t="shared" si="80"/>
        <v>0</v>
      </c>
      <c r="K168" s="18">
        <f t="shared" si="80"/>
        <v>0</v>
      </c>
      <c r="L168" s="18">
        <f t="shared" si="80"/>
        <v>0</v>
      </c>
      <c r="M168" s="18">
        <f t="shared" si="80"/>
        <v>0</v>
      </c>
      <c r="N168" s="18">
        <f t="shared" si="80"/>
        <v>0</v>
      </c>
      <c r="O168" s="18">
        <f t="shared" si="80"/>
        <v>0</v>
      </c>
      <c r="P168" s="18">
        <f t="shared" si="80"/>
        <v>0</v>
      </c>
      <c r="Q168" s="18">
        <f t="shared" si="80"/>
        <v>0</v>
      </c>
      <c r="R168" s="18">
        <f t="shared" si="80"/>
        <v>0</v>
      </c>
      <c r="S168" s="18">
        <f t="shared" si="80"/>
        <v>0</v>
      </c>
      <c r="T168" s="18">
        <f t="shared" si="80"/>
        <v>0</v>
      </c>
      <c r="U168" s="18">
        <f t="shared" si="80"/>
        <v>0</v>
      </c>
      <c r="V168" s="18">
        <f t="shared" si="80"/>
        <v>0</v>
      </c>
      <c r="W168" s="65">
        <f t="shared" si="80"/>
        <v>0</v>
      </c>
    </row>
    <row r="169" spans="2:23" s="27" customFormat="1" ht="15">
      <c r="B169" s="64" t="str">
        <f t="shared" si="60"/>
        <v>#20</v>
      </c>
      <c r="C169" s="18"/>
      <c r="D169" s="18"/>
      <c r="E169" s="18"/>
      <c r="F169" s="18"/>
      <c r="G169" s="18"/>
      <c r="H169" s="18">
        <f aca="true" t="shared" si="81" ref="H169:W169">H146^2</f>
        <v>0</v>
      </c>
      <c r="I169" s="18">
        <f t="shared" si="81"/>
        <v>0</v>
      </c>
      <c r="J169" s="18">
        <f t="shared" si="81"/>
        <v>0</v>
      </c>
      <c r="K169" s="18">
        <f t="shared" si="81"/>
        <v>0</v>
      </c>
      <c r="L169" s="18">
        <f t="shared" si="81"/>
        <v>0</v>
      </c>
      <c r="M169" s="18">
        <f t="shared" si="81"/>
        <v>0</v>
      </c>
      <c r="N169" s="18">
        <f t="shared" si="81"/>
        <v>0</v>
      </c>
      <c r="O169" s="18">
        <f t="shared" si="81"/>
        <v>0</v>
      </c>
      <c r="P169" s="18">
        <f t="shared" si="81"/>
        <v>0</v>
      </c>
      <c r="Q169" s="18">
        <f t="shared" si="81"/>
        <v>0</v>
      </c>
      <c r="R169" s="18">
        <f t="shared" si="81"/>
        <v>0</v>
      </c>
      <c r="S169" s="18">
        <f t="shared" si="81"/>
        <v>0</v>
      </c>
      <c r="T169" s="18">
        <f t="shared" si="81"/>
        <v>0</v>
      </c>
      <c r="U169" s="18">
        <f t="shared" si="81"/>
        <v>0</v>
      </c>
      <c r="V169" s="18">
        <f t="shared" si="81"/>
        <v>0</v>
      </c>
      <c r="W169" s="65">
        <f t="shared" si="81"/>
        <v>0</v>
      </c>
    </row>
    <row r="170" spans="2:23" s="27" customFormat="1" ht="15">
      <c r="B170" s="66"/>
      <c r="C170" s="67"/>
      <c r="D170" s="67"/>
      <c r="E170" s="67"/>
      <c r="F170" s="67"/>
      <c r="G170" s="59" t="s">
        <v>196</v>
      </c>
      <c r="H170" s="60">
        <f>SUM(H150:H169)</f>
        <v>28517537</v>
      </c>
      <c r="I170" s="60">
        <f aca="true" t="shared" si="82" ref="I170:W170">SUM(I150:I169)</f>
        <v>27167293</v>
      </c>
      <c r="J170" s="60">
        <f t="shared" si="82"/>
        <v>22210128</v>
      </c>
      <c r="K170" s="60">
        <f t="shared" si="82"/>
        <v>6257998</v>
      </c>
      <c r="L170" s="60">
        <f t="shared" si="82"/>
        <v>0</v>
      </c>
      <c r="M170" s="60">
        <f t="shared" si="82"/>
        <v>59203863</v>
      </c>
      <c r="N170" s="60">
        <f t="shared" si="82"/>
        <v>53548877</v>
      </c>
      <c r="O170" s="60">
        <f t="shared" si="82"/>
        <v>0</v>
      </c>
      <c r="P170" s="60">
        <f t="shared" si="82"/>
        <v>15840354</v>
      </c>
      <c r="Q170" s="60">
        <f t="shared" si="82"/>
        <v>24453281</v>
      </c>
      <c r="R170" s="60">
        <f t="shared" si="82"/>
        <v>2940974</v>
      </c>
      <c r="S170" s="60">
        <f t="shared" si="82"/>
        <v>8003573</v>
      </c>
      <c r="T170" s="60">
        <f t="shared" si="82"/>
        <v>0</v>
      </c>
      <c r="U170" s="60">
        <f t="shared" si="82"/>
        <v>0</v>
      </c>
      <c r="V170" s="60">
        <f t="shared" si="82"/>
        <v>0</v>
      </c>
      <c r="W170" s="61">
        <f t="shared" si="82"/>
        <v>0</v>
      </c>
    </row>
    <row r="171" spans="8:15" s="27" customFormat="1" ht="15">
      <c r="H171" s="18"/>
      <c r="I171" s="18"/>
      <c r="J171" s="18"/>
      <c r="K171" s="18"/>
      <c r="L171" s="18"/>
      <c r="M171" s="18"/>
      <c r="N171" s="18"/>
      <c r="O171" s="18"/>
    </row>
    <row r="172" spans="2:15" s="27" customFormat="1" ht="15">
      <c r="B172" s="68" t="s">
        <v>380</v>
      </c>
      <c r="D172" s="81">
        <f>H178</f>
        <v>0.85</v>
      </c>
      <c r="H172" s="18"/>
      <c r="I172" s="18"/>
      <c r="J172" s="18"/>
      <c r="K172" s="18"/>
      <c r="L172" s="18"/>
      <c r="M172" s="18"/>
      <c r="N172" s="18"/>
      <c r="O172" s="18"/>
    </row>
    <row r="173" spans="2:23" s="27" customFormat="1" ht="15">
      <c r="B173" s="72" t="s">
        <v>182</v>
      </c>
      <c r="C173" s="63"/>
      <c r="D173" s="63"/>
      <c r="E173" s="63"/>
      <c r="F173" s="63"/>
      <c r="G173" s="63"/>
      <c r="H173" s="63">
        <f>STEYX(H55:H74,$G$55:$G$74)</f>
        <v>0.3132980259148214</v>
      </c>
      <c r="I173" s="63">
        <f aca="true" t="shared" si="83" ref="I173:W173">STEYX(I55:I74,$G$55:$G$74)</f>
        <v>1.0270399264437304</v>
      </c>
      <c r="J173" s="63">
        <f t="shared" si="83"/>
        <v>0.8492061061917022</v>
      </c>
      <c r="K173" s="63">
        <f t="shared" si="83"/>
        <v>0.3349680769489205</v>
      </c>
      <c r="L173" s="63" t="e">
        <f t="shared" si="83"/>
        <v>#DIV/0!</v>
      </c>
      <c r="M173" s="63">
        <f t="shared" si="83"/>
        <v>0.3424887420688782</v>
      </c>
      <c r="N173" s="63">
        <f t="shared" si="83"/>
        <v>0.40357045295001687</v>
      </c>
      <c r="O173" s="63" t="e">
        <f t="shared" si="83"/>
        <v>#DIV/0!</v>
      </c>
      <c r="P173" s="63">
        <f t="shared" si="83"/>
        <v>0.9027666296124652</v>
      </c>
      <c r="Q173" s="63">
        <f t="shared" si="83"/>
        <v>0.2389162777169476</v>
      </c>
      <c r="R173" s="63">
        <f t="shared" si="83"/>
        <v>0.523439823971068</v>
      </c>
      <c r="S173" s="63">
        <f t="shared" si="83"/>
        <v>1.134200220897896</v>
      </c>
      <c r="T173" s="63" t="e">
        <f t="shared" si="83"/>
        <v>#DIV/0!</v>
      </c>
      <c r="U173" s="63" t="e">
        <f t="shared" si="83"/>
        <v>#DIV/0!</v>
      </c>
      <c r="V173" s="63" t="e">
        <f t="shared" si="83"/>
        <v>#DIV/0!</v>
      </c>
      <c r="W173" s="69" t="e">
        <f t="shared" si="83"/>
        <v>#DIV/0!</v>
      </c>
    </row>
    <row r="174" spans="1:23" s="27" customFormat="1" ht="15">
      <c r="A174" s="27" t="s">
        <v>381</v>
      </c>
      <c r="B174" s="73" t="s">
        <v>205</v>
      </c>
      <c r="C174" s="18"/>
      <c r="D174" s="18"/>
      <c r="E174" s="18"/>
      <c r="F174" s="18"/>
      <c r="G174" s="18"/>
      <c r="H174" s="18">
        <f>H147</f>
        <v>16387</v>
      </c>
      <c r="I174" s="18">
        <f aca="true" t="shared" si="84" ref="I174:W174">I147</f>
        <v>15225</v>
      </c>
      <c r="J174" s="18">
        <f t="shared" si="84"/>
        <v>12960</v>
      </c>
      <c r="K174" s="18">
        <f t="shared" si="84"/>
        <v>4950</v>
      </c>
      <c r="L174" s="18">
        <f t="shared" si="84"/>
        <v>0</v>
      </c>
      <c r="M174" s="18">
        <f t="shared" si="84"/>
        <v>28697</v>
      </c>
      <c r="N174" s="18">
        <f t="shared" si="84"/>
        <v>25245</v>
      </c>
      <c r="O174" s="18">
        <f t="shared" si="84"/>
        <v>0</v>
      </c>
      <c r="P174" s="18">
        <f t="shared" si="84"/>
        <v>9220</v>
      </c>
      <c r="Q174" s="18">
        <f t="shared" si="84"/>
        <v>14371</v>
      </c>
      <c r="R174" s="18">
        <f t="shared" si="84"/>
        <v>2598</v>
      </c>
      <c r="S174" s="18">
        <f t="shared" si="84"/>
        <v>6037</v>
      </c>
      <c r="T174" s="18">
        <f t="shared" si="84"/>
        <v>0</v>
      </c>
      <c r="U174" s="18">
        <f t="shared" si="84"/>
        <v>0</v>
      </c>
      <c r="V174" s="18">
        <f t="shared" si="84"/>
        <v>0</v>
      </c>
      <c r="W174" s="65">
        <f t="shared" si="84"/>
        <v>0</v>
      </c>
    </row>
    <row r="175" spans="1:23" s="27" customFormat="1" ht="18">
      <c r="A175" s="27" t="s">
        <v>382</v>
      </c>
      <c r="B175" s="73" t="s">
        <v>206</v>
      </c>
      <c r="C175" s="18"/>
      <c r="D175" s="18"/>
      <c r="E175" s="18"/>
      <c r="F175" s="18"/>
      <c r="G175" s="18"/>
      <c r="H175" s="18">
        <f>H170</f>
        <v>28517537</v>
      </c>
      <c r="I175" s="18">
        <f aca="true" t="shared" si="85" ref="I175:W175">I170</f>
        <v>27167293</v>
      </c>
      <c r="J175" s="18">
        <f t="shared" si="85"/>
        <v>22210128</v>
      </c>
      <c r="K175" s="18">
        <f t="shared" si="85"/>
        <v>6257998</v>
      </c>
      <c r="L175" s="18">
        <f t="shared" si="85"/>
        <v>0</v>
      </c>
      <c r="M175" s="18">
        <f t="shared" si="85"/>
        <v>59203863</v>
      </c>
      <c r="N175" s="18">
        <f t="shared" si="85"/>
        <v>53548877</v>
      </c>
      <c r="O175" s="18">
        <f t="shared" si="85"/>
        <v>0</v>
      </c>
      <c r="P175" s="18">
        <f t="shared" si="85"/>
        <v>15840354</v>
      </c>
      <c r="Q175" s="18">
        <f t="shared" si="85"/>
        <v>24453281</v>
      </c>
      <c r="R175" s="18">
        <f t="shared" si="85"/>
        <v>2940974</v>
      </c>
      <c r="S175" s="18">
        <f t="shared" si="85"/>
        <v>8003573</v>
      </c>
      <c r="T175" s="18">
        <f t="shared" si="85"/>
        <v>0</v>
      </c>
      <c r="U175" s="18">
        <f t="shared" si="85"/>
        <v>0</v>
      </c>
      <c r="V175" s="18">
        <f t="shared" si="85"/>
        <v>0</v>
      </c>
      <c r="W175" s="65">
        <f t="shared" si="85"/>
        <v>0</v>
      </c>
    </row>
    <row r="176" spans="2:23" s="27" customFormat="1" ht="18">
      <c r="B176" s="74" t="s">
        <v>207</v>
      </c>
      <c r="C176" s="18"/>
      <c r="D176" s="18"/>
      <c r="E176" s="18"/>
      <c r="F176" s="18"/>
      <c r="G176" s="18"/>
      <c r="H176" s="18">
        <f>H175-(H174^2/H177)</f>
        <v>7861093.230769232</v>
      </c>
      <c r="I176" s="18">
        <f aca="true" t="shared" si="86" ref="I176:W176">I175-(I174^2/I177)</f>
        <v>7850574.25</v>
      </c>
      <c r="J176" s="18">
        <f t="shared" si="86"/>
        <v>6940891.636363637</v>
      </c>
      <c r="K176" s="18">
        <f t="shared" si="86"/>
        <v>2757640.8571428573</v>
      </c>
      <c r="L176" s="18" t="e">
        <f t="shared" si="86"/>
        <v>#DIV/0!</v>
      </c>
      <c r="M176" s="18">
        <f t="shared" si="86"/>
        <v>10761638.941176474</v>
      </c>
      <c r="N176" s="18">
        <f t="shared" si="86"/>
        <v>4525028.92307692</v>
      </c>
      <c r="O176" s="18" t="e">
        <f t="shared" si="86"/>
        <v>#DIV/0!</v>
      </c>
      <c r="P176" s="18">
        <f t="shared" si="86"/>
        <v>5214304</v>
      </c>
      <c r="Q176" s="18">
        <f t="shared" si="86"/>
        <v>7242810.916666668</v>
      </c>
      <c r="R176" s="18">
        <f t="shared" si="86"/>
        <v>1253573</v>
      </c>
      <c r="S176" s="18">
        <f t="shared" si="86"/>
        <v>1929344.833333333</v>
      </c>
      <c r="T176" s="18" t="e">
        <f t="shared" si="86"/>
        <v>#DIV/0!</v>
      </c>
      <c r="U176" s="18" t="e">
        <f t="shared" si="86"/>
        <v>#DIV/0!</v>
      </c>
      <c r="V176" s="18" t="e">
        <f t="shared" si="86"/>
        <v>#DIV/0!</v>
      </c>
      <c r="W176" s="65" t="e">
        <f t="shared" si="86"/>
        <v>#DIV/0!</v>
      </c>
    </row>
    <row r="177" spans="2:23" s="27" customFormat="1" ht="15">
      <c r="B177" s="74" t="s">
        <v>20</v>
      </c>
      <c r="C177" s="18"/>
      <c r="D177" s="18"/>
      <c r="E177" s="18"/>
      <c r="F177" s="18"/>
      <c r="G177" s="13"/>
      <c r="H177" s="13">
        <f>H90</f>
        <v>13</v>
      </c>
      <c r="I177" s="13">
        <f aca="true" t="shared" si="87" ref="I177:W177">I90</f>
        <v>12</v>
      </c>
      <c r="J177" s="13">
        <f t="shared" si="87"/>
        <v>11</v>
      </c>
      <c r="K177" s="13">
        <f t="shared" si="87"/>
        <v>7</v>
      </c>
      <c r="L177" s="13">
        <f t="shared" si="87"/>
        <v>0</v>
      </c>
      <c r="M177" s="13">
        <f t="shared" si="87"/>
        <v>17</v>
      </c>
      <c r="N177" s="13">
        <f t="shared" si="87"/>
        <v>13</v>
      </c>
      <c r="O177" s="13">
        <f t="shared" si="87"/>
        <v>0</v>
      </c>
      <c r="P177" s="13">
        <f t="shared" si="87"/>
        <v>8</v>
      </c>
      <c r="Q177" s="13">
        <f t="shared" si="87"/>
        <v>12</v>
      </c>
      <c r="R177" s="13">
        <f t="shared" si="87"/>
        <v>4</v>
      </c>
      <c r="S177" s="13">
        <f t="shared" si="87"/>
        <v>6</v>
      </c>
      <c r="T177" s="13">
        <f t="shared" si="87"/>
        <v>0</v>
      </c>
      <c r="U177" s="13">
        <f t="shared" si="87"/>
        <v>0</v>
      </c>
      <c r="V177" s="13">
        <f t="shared" si="87"/>
        <v>0</v>
      </c>
      <c r="W177" s="70">
        <f t="shared" si="87"/>
        <v>0</v>
      </c>
    </row>
    <row r="178" spans="2:23" s="27" customFormat="1" ht="15.75">
      <c r="B178" s="1091" t="s">
        <v>435</v>
      </c>
      <c r="C178" s="18"/>
      <c r="D178" s="18"/>
      <c r="E178" s="18"/>
      <c r="F178" s="18"/>
      <c r="G178" s="18"/>
      <c r="H178" s="80">
        <f aca="true" t="shared" si="88" ref="H178:W178">SigLevel_LinReg</f>
        <v>0.85</v>
      </c>
      <c r="I178" s="80">
        <f t="shared" si="88"/>
        <v>0.85</v>
      </c>
      <c r="J178" s="80">
        <f t="shared" si="88"/>
        <v>0.85</v>
      </c>
      <c r="K178" s="80">
        <f t="shared" si="88"/>
        <v>0.85</v>
      </c>
      <c r="L178" s="80">
        <f t="shared" si="88"/>
        <v>0.85</v>
      </c>
      <c r="M178" s="80">
        <f t="shared" si="88"/>
        <v>0.85</v>
      </c>
      <c r="N178" s="80">
        <f t="shared" si="88"/>
        <v>0.85</v>
      </c>
      <c r="O178" s="80">
        <f t="shared" si="88"/>
        <v>0.85</v>
      </c>
      <c r="P178" s="80">
        <f t="shared" si="88"/>
        <v>0.85</v>
      </c>
      <c r="Q178" s="80">
        <f t="shared" si="88"/>
        <v>0.85</v>
      </c>
      <c r="R178" s="80">
        <f t="shared" si="88"/>
        <v>0.85</v>
      </c>
      <c r="S178" s="80">
        <f t="shared" si="88"/>
        <v>0.85</v>
      </c>
      <c r="T178" s="80">
        <f t="shared" si="88"/>
        <v>0.85</v>
      </c>
      <c r="U178" s="80">
        <f t="shared" si="88"/>
        <v>0.85</v>
      </c>
      <c r="V178" s="80">
        <f t="shared" si="88"/>
        <v>0.85</v>
      </c>
      <c r="W178" s="80">
        <f t="shared" si="88"/>
        <v>0.85</v>
      </c>
    </row>
    <row r="179" spans="2:23" s="27" customFormat="1" ht="15">
      <c r="B179" s="74" t="s">
        <v>208</v>
      </c>
      <c r="C179" s="18"/>
      <c r="D179" s="18"/>
      <c r="E179" s="18"/>
      <c r="F179" s="18"/>
      <c r="G179" s="18"/>
      <c r="H179" s="18">
        <f>TINV((1-H178)*2,H177-1)</f>
        <v>1.0832114205723458</v>
      </c>
      <c r="I179" s="18">
        <f aca="true" t="shared" si="89" ref="I179:W179">TINV((1-I178)*2,I177-1)</f>
        <v>1.0876663804688023</v>
      </c>
      <c r="J179" s="18">
        <f t="shared" si="89"/>
        <v>1.0930580737119828</v>
      </c>
      <c r="K179" s="18">
        <f t="shared" si="89"/>
        <v>1.1341569308178547</v>
      </c>
      <c r="L179" s="18" t="e">
        <f t="shared" si="89"/>
        <v>#NUM!</v>
      </c>
      <c r="M179" s="18">
        <f t="shared" si="89"/>
        <v>1.0711371633930526</v>
      </c>
      <c r="N179" s="18">
        <f t="shared" si="89"/>
        <v>1.0832114205723458</v>
      </c>
      <c r="O179" s="18" t="e">
        <f t="shared" si="89"/>
        <v>#NUM!</v>
      </c>
      <c r="P179" s="18">
        <f t="shared" si="89"/>
        <v>1.1191591283615123</v>
      </c>
      <c r="Q179" s="18">
        <f t="shared" si="89"/>
        <v>1.0876663804688023</v>
      </c>
      <c r="R179" s="18">
        <f t="shared" si="89"/>
        <v>1.24977810480192</v>
      </c>
      <c r="S179" s="18">
        <f t="shared" si="89"/>
        <v>1.1557673437206808</v>
      </c>
      <c r="T179" s="18" t="e">
        <f t="shared" si="89"/>
        <v>#NUM!</v>
      </c>
      <c r="U179" s="18" t="e">
        <f t="shared" si="89"/>
        <v>#NUM!</v>
      </c>
      <c r="V179" s="18" t="e">
        <f t="shared" si="89"/>
        <v>#NUM!</v>
      </c>
      <c r="W179" s="65" t="e">
        <f t="shared" si="89"/>
        <v>#NUM!</v>
      </c>
    </row>
    <row r="180" spans="2:23" s="27" customFormat="1" ht="15">
      <c r="B180" s="75" t="s">
        <v>203</v>
      </c>
      <c r="C180" s="67"/>
      <c r="D180" s="67"/>
      <c r="E180" s="67"/>
      <c r="F180" s="67"/>
      <c r="G180" s="67"/>
      <c r="H180" s="67">
        <f>(H179*H173/SQRT(H176))</f>
        <v>0.00012104013939870655</v>
      </c>
      <c r="I180" s="67">
        <f aca="true" t="shared" si="90" ref="I180:W180">I179*I173/SQRT(I176)</f>
        <v>0.00039868722441215477</v>
      </c>
      <c r="J180" s="67">
        <f t="shared" si="90"/>
        <v>0.00035232926082087403</v>
      </c>
      <c r="K180" s="67">
        <f t="shared" si="90"/>
        <v>0.0002287745546522042</v>
      </c>
      <c r="L180" s="67" t="e">
        <f t="shared" si="90"/>
        <v>#NUM!</v>
      </c>
      <c r="M180" s="67">
        <f t="shared" si="90"/>
        <v>0.00011182841754585815</v>
      </c>
      <c r="N180" s="67">
        <f t="shared" si="90"/>
        <v>0.00020550477281674546</v>
      </c>
      <c r="O180" s="67" t="e">
        <f t="shared" si="90"/>
        <v>#NUM!</v>
      </c>
      <c r="P180" s="67">
        <f t="shared" si="90"/>
        <v>0.00044245505866163096</v>
      </c>
      <c r="Q180" s="67">
        <f t="shared" si="90"/>
        <v>9.655791312358495E-05</v>
      </c>
      <c r="R180" s="67">
        <f t="shared" si="90"/>
        <v>0.0005842851631624272</v>
      </c>
      <c r="S180" s="67">
        <f t="shared" si="90"/>
        <v>0.0009437462058206374</v>
      </c>
      <c r="T180" s="67" t="e">
        <f t="shared" si="90"/>
        <v>#NUM!</v>
      </c>
      <c r="U180" s="67" t="e">
        <f t="shared" si="90"/>
        <v>#NUM!</v>
      </c>
      <c r="V180" s="67" t="e">
        <f t="shared" si="90"/>
        <v>#NUM!</v>
      </c>
      <c r="W180" s="71" t="e">
        <f t="shared" si="90"/>
        <v>#NUM!</v>
      </c>
    </row>
    <row r="181" spans="7:23" s="27" customFormat="1" ht="15">
      <c r="G181" s="18"/>
      <c r="H181" s="18"/>
      <c r="I181" s="18"/>
      <c r="J181" s="18"/>
      <c r="K181" s="18"/>
      <c r="L181" s="18"/>
      <c r="M181" s="18"/>
      <c r="N181" s="18"/>
      <c r="O181" s="18"/>
      <c r="P181" s="18"/>
      <c r="Q181" s="18"/>
      <c r="R181" s="18"/>
      <c r="S181" s="18"/>
      <c r="T181" s="18"/>
      <c r="U181" s="18"/>
      <c r="V181" s="18"/>
      <c r="W181" s="18"/>
    </row>
    <row r="182" spans="7:23" s="27" customFormat="1" ht="15">
      <c r="G182" s="18"/>
      <c r="H182" s="18"/>
      <c r="I182" s="18"/>
      <c r="J182" s="18"/>
      <c r="K182" s="18"/>
      <c r="L182" s="18"/>
      <c r="M182" s="18"/>
      <c r="N182" s="18"/>
      <c r="O182" s="18"/>
      <c r="P182" s="18"/>
      <c r="Q182" s="18"/>
      <c r="R182" s="18"/>
      <c r="S182" s="18"/>
      <c r="T182" s="18"/>
      <c r="U182" s="18"/>
      <c r="V182" s="18"/>
      <c r="W182" s="18"/>
    </row>
    <row r="183" spans="2:23" s="27" customFormat="1" ht="15">
      <c r="B183" s="68" t="s">
        <v>380</v>
      </c>
      <c r="D183" s="81">
        <f>H185</f>
        <v>0.85</v>
      </c>
      <c r="G183" s="18"/>
      <c r="H183" s="18" t="str">
        <f>H6</f>
        <v>MW-1</v>
      </c>
      <c r="I183" s="18" t="str">
        <f aca="true" t="shared" si="91" ref="I183:W183">I6</f>
        <v>MW-2</v>
      </c>
      <c r="J183" s="18" t="str">
        <f t="shared" si="91"/>
        <v>MW-3</v>
      </c>
      <c r="K183" s="18" t="str">
        <f t="shared" si="91"/>
        <v>MW-4</v>
      </c>
      <c r="L183" s="18">
        <f t="shared" si="91"/>
        <v>0</v>
      </c>
      <c r="M183" s="18" t="str">
        <f t="shared" si="91"/>
        <v>MW-5</v>
      </c>
      <c r="N183" s="18" t="str">
        <f t="shared" si="91"/>
        <v>MW-11</v>
      </c>
      <c r="O183" s="18">
        <f t="shared" si="91"/>
        <v>0</v>
      </c>
      <c r="P183" s="18" t="str">
        <f t="shared" si="91"/>
        <v>MW9</v>
      </c>
      <c r="Q183" s="18" t="str">
        <f t="shared" si="91"/>
        <v>MW10</v>
      </c>
      <c r="R183" s="18" t="str">
        <f t="shared" si="91"/>
        <v>MW-20</v>
      </c>
      <c r="S183" s="18" t="str">
        <f t="shared" si="91"/>
        <v>MW12</v>
      </c>
      <c r="T183" s="18">
        <f t="shared" si="91"/>
        <v>0</v>
      </c>
      <c r="U183" s="18">
        <f t="shared" si="91"/>
        <v>0</v>
      </c>
      <c r="V183" s="18">
        <f t="shared" si="91"/>
        <v>0</v>
      </c>
      <c r="W183" s="18">
        <f t="shared" si="91"/>
        <v>0</v>
      </c>
    </row>
    <row r="184" spans="2:23" s="27" customFormat="1" ht="15">
      <c r="B184" s="68" t="s">
        <v>228</v>
      </c>
      <c r="D184" s="81"/>
      <c r="G184" s="18"/>
      <c r="H184" s="983">
        <f>H96</f>
        <v>0.9996293056539493</v>
      </c>
      <c r="I184" s="983">
        <f aca="true" t="shared" si="92" ref="I184:N184">I96</f>
        <v>0.9999869873715387</v>
      </c>
      <c r="J184" s="983">
        <f t="shared" si="92"/>
        <v>0.9999405447035308</v>
      </c>
      <c r="K184" s="983">
        <f t="shared" si="92"/>
        <v>0.9996651159898657</v>
      </c>
      <c r="L184" s="983" t="e">
        <f t="shared" si="92"/>
        <v>#DIV/0!</v>
      </c>
      <c r="M184" s="983">
        <f t="shared" si="92"/>
        <v>0.9997503832715733</v>
      </c>
      <c r="N184" s="983">
        <f t="shared" si="92"/>
        <v>0.9999581337402444</v>
      </c>
      <c r="O184" s="18"/>
      <c r="P184" s="18"/>
      <c r="Q184" s="18"/>
      <c r="R184" s="18"/>
      <c r="S184" s="18"/>
      <c r="T184" s="18"/>
      <c r="U184" s="18"/>
      <c r="V184" s="18"/>
      <c r="W184" s="18"/>
    </row>
    <row r="185" spans="1:23" s="27" customFormat="1" ht="15">
      <c r="A185" s="27" t="s">
        <v>383</v>
      </c>
      <c r="B185" s="74" t="s">
        <v>186</v>
      </c>
      <c r="C185" s="18"/>
      <c r="G185" s="18"/>
      <c r="H185" s="80">
        <f aca="true" t="shared" si="93" ref="H185:W185">sigLvl_graph</f>
        <v>0.85</v>
      </c>
      <c r="I185" s="80">
        <f t="shared" si="93"/>
        <v>0.85</v>
      </c>
      <c r="J185" s="80">
        <f t="shared" si="93"/>
        <v>0.85</v>
      </c>
      <c r="K185" s="80">
        <f t="shared" si="93"/>
        <v>0.85</v>
      </c>
      <c r="L185" s="80">
        <f t="shared" si="93"/>
        <v>0.85</v>
      </c>
      <c r="M185" s="80">
        <f t="shared" si="93"/>
        <v>0.85</v>
      </c>
      <c r="N185" s="80">
        <f t="shared" si="93"/>
        <v>0.85</v>
      </c>
      <c r="O185" s="80">
        <f t="shared" si="93"/>
        <v>0.85</v>
      </c>
      <c r="P185" s="80">
        <f t="shared" si="93"/>
        <v>0.85</v>
      </c>
      <c r="Q185" s="80">
        <f t="shared" si="93"/>
        <v>0.85</v>
      </c>
      <c r="R185" s="80">
        <f t="shared" si="93"/>
        <v>0.85</v>
      </c>
      <c r="S185" s="80">
        <f t="shared" si="93"/>
        <v>0.85</v>
      </c>
      <c r="T185" s="80">
        <f t="shared" si="93"/>
        <v>0.85</v>
      </c>
      <c r="U185" s="80">
        <f t="shared" si="93"/>
        <v>0.85</v>
      </c>
      <c r="V185" s="80">
        <f t="shared" si="93"/>
        <v>0.85</v>
      </c>
      <c r="W185" s="80">
        <f t="shared" si="93"/>
        <v>0.85</v>
      </c>
    </row>
    <row r="186" spans="1:23" s="27" customFormat="1" ht="15">
      <c r="A186" s="27" t="s">
        <v>382</v>
      </c>
      <c r="B186" s="74" t="s">
        <v>208</v>
      </c>
      <c r="C186" s="18"/>
      <c r="G186" s="18"/>
      <c r="H186" s="18">
        <f>TINV((1-H185)*2,H177-1)</f>
        <v>1.0832114205723458</v>
      </c>
      <c r="I186" s="18">
        <f aca="true" t="shared" si="94" ref="I186:W186">TINV((1-I185)*2,I177-1)</f>
        <v>1.0876663804688023</v>
      </c>
      <c r="J186" s="18">
        <f t="shared" si="94"/>
        <v>1.0930580737119828</v>
      </c>
      <c r="K186" s="18">
        <f t="shared" si="94"/>
        <v>1.1341569308178547</v>
      </c>
      <c r="L186" s="18" t="e">
        <f t="shared" si="94"/>
        <v>#NUM!</v>
      </c>
      <c r="M186" s="18">
        <f t="shared" si="94"/>
        <v>1.0711371633930526</v>
      </c>
      <c r="N186" s="18">
        <f t="shared" si="94"/>
        <v>1.0832114205723458</v>
      </c>
      <c r="O186" s="18" t="e">
        <f t="shared" si="94"/>
        <v>#NUM!</v>
      </c>
      <c r="P186" s="18">
        <f t="shared" si="94"/>
        <v>1.1191591283615123</v>
      </c>
      <c r="Q186" s="18">
        <f t="shared" si="94"/>
        <v>1.0876663804688023</v>
      </c>
      <c r="R186" s="18">
        <f t="shared" si="94"/>
        <v>1.24977810480192</v>
      </c>
      <c r="S186" s="18">
        <f t="shared" si="94"/>
        <v>1.1557673437206808</v>
      </c>
      <c r="T186" s="18" t="e">
        <f t="shared" si="94"/>
        <v>#NUM!</v>
      </c>
      <c r="U186" s="18" t="e">
        <f t="shared" si="94"/>
        <v>#NUM!</v>
      </c>
      <c r="V186" s="18" t="e">
        <f t="shared" si="94"/>
        <v>#NUM!</v>
      </c>
      <c r="W186" s="18" t="e">
        <f t="shared" si="94"/>
        <v>#NUM!</v>
      </c>
    </row>
    <row r="187" spans="2:23" s="27" customFormat="1" ht="15">
      <c r="B187" s="75" t="s">
        <v>203</v>
      </c>
      <c r="C187" s="67"/>
      <c r="G187" s="18"/>
      <c r="H187" s="67">
        <f>H186*H173/SQRT(H176)</f>
        <v>0.00012104013939870655</v>
      </c>
      <c r="I187" s="67">
        <f aca="true" t="shared" si="95" ref="I187:W187">I186*I173/SQRT(I176)</f>
        <v>0.00039868722441215477</v>
      </c>
      <c r="J187" s="67">
        <f t="shared" si="95"/>
        <v>0.00035232926082087403</v>
      </c>
      <c r="K187" s="67">
        <f t="shared" si="95"/>
        <v>0.0002287745546522042</v>
      </c>
      <c r="L187" s="67" t="e">
        <f t="shared" si="95"/>
        <v>#NUM!</v>
      </c>
      <c r="M187" s="67">
        <f t="shared" si="95"/>
        <v>0.00011182841754585815</v>
      </c>
      <c r="N187" s="67">
        <f t="shared" si="95"/>
        <v>0.00020550477281674546</v>
      </c>
      <c r="O187" s="67" t="e">
        <f t="shared" si="95"/>
        <v>#NUM!</v>
      </c>
      <c r="P187" s="67">
        <f t="shared" si="95"/>
        <v>0.00044245505866163096</v>
      </c>
      <c r="Q187" s="67">
        <f t="shared" si="95"/>
        <v>9.655791312358495E-05</v>
      </c>
      <c r="R187" s="67">
        <f t="shared" si="95"/>
        <v>0.0005842851631624272</v>
      </c>
      <c r="S187" s="67">
        <f t="shared" si="95"/>
        <v>0.0009437462058206374</v>
      </c>
      <c r="T187" s="67" t="e">
        <f t="shared" si="95"/>
        <v>#NUM!</v>
      </c>
      <c r="U187" s="67" t="e">
        <f t="shared" si="95"/>
        <v>#NUM!</v>
      </c>
      <c r="V187" s="67" t="e">
        <f t="shared" si="95"/>
        <v>#NUM!</v>
      </c>
      <c r="W187" s="67" t="e">
        <f t="shared" si="95"/>
        <v>#NUM!</v>
      </c>
    </row>
    <row r="188" spans="2:23" s="27" customFormat="1" ht="15">
      <c r="B188" s="27" t="s">
        <v>222</v>
      </c>
      <c r="G188" s="18" t="s">
        <v>285</v>
      </c>
      <c r="H188" s="18">
        <f>H79-H187</f>
        <v>0.0004435213822777068</v>
      </c>
      <c r="I188" s="18">
        <f aca="true" t="shared" si="96" ref="I188:W188">I79-I187</f>
        <v>0.0025004182644160267</v>
      </c>
      <c r="J188" s="18">
        <f t="shared" si="96"/>
        <v>0.0019221114033322907</v>
      </c>
      <c r="K188" s="18">
        <f t="shared" si="96"/>
        <v>0.0015229084870595267</v>
      </c>
      <c r="L188" s="18" t="e">
        <f t="shared" si="96"/>
        <v>#DIV/0!</v>
      </c>
      <c r="M188" s="18">
        <f t="shared" si="96"/>
        <v>0.0003858375003776459</v>
      </c>
      <c r="N188" s="18">
        <f t="shared" si="96"/>
        <v>0.0010354376824824997</v>
      </c>
      <c r="O188" s="18" t="e">
        <f t="shared" si="96"/>
        <v>#DIV/0!</v>
      </c>
      <c r="P188" s="18">
        <f t="shared" si="96"/>
        <v>-0.0002189837388378067</v>
      </c>
      <c r="Q188" s="18">
        <f t="shared" si="96"/>
        <v>-6.158140540982823E-05</v>
      </c>
      <c r="R188" s="18">
        <f t="shared" si="96"/>
        <v>0.005445259940671511</v>
      </c>
      <c r="S188" s="18">
        <f t="shared" si="96"/>
        <v>0.0030989605148819036</v>
      </c>
      <c r="T188" s="18" t="e">
        <f t="shared" si="96"/>
        <v>#DIV/0!</v>
      </c>
      <c r="U188" s="18" t="e">
        <f t="shared" si="96"/>
        <v>#DIV/0!</v>
      </c>
      <c r="V188" s="18" t="e">
        <f t="shared" si="96"/>
        <v>#DIV/0!</v>
      </c>
      <c r="W188" s="18" t="e">
        <f t="shared" si="96"/>
        <v>#DIV/0!</v>
      </c>
    </row>
    <row r="189" spans="2:23" s="27" customFormat="1" ht="34.5" customHeight="1">
      <c r="B189" s="1152" t="s">
        <v>154</v>
      </c>
      <c r="C189" s="1152"/>
      <c r="D189" s="1152"/>
      <c r="G189" s="18"/>
      <c r="H189" s="18" t="str">
        <f aca="true" t="shared" si="97" ref="H189:W189">IF(H96&gt;sigLvl_graph,"YES!","NO!")</f>
        <v>YES!</v>
      </c>
      <c r="I189" s="18" t="str">
        <f t="shared" si="97"/>
        <v>YES!</v>
      </c>
      <c r="J189" s="18" t="str">
        <f t="shared" si="97"/>
        <v>YES!</v>
      </c>
      <c r="K189" s="18" t="str">
        <f t="shared" si="97"/>
        <v>YES!</v>
      </c>
      <c r="L189" s="18" t="e">
        <f t="shared" si="97"/>
        <v>#DIV/0!</v>
      </c>
      <c r="M189" s="18" t="str">
        <f t="shared" si="97"/>
        <v>YES!</v>
      </c>
      <c r="N189" s="18" t="str">
        <f t="shared" si="97"/>
        <v>YES!</v>
      </c>
      <c r="O189" s="18" t="e">
        <f t="shared" si="97"/>
        <v>#DIV/0!</v>
      </c>
      <c r="P189" s="18" t="str">
        <f t="shared" si="97"/>
        <v>NO!</v>
      </c>
      <c r="Q189" s="18" t="str">
        <f t="shared" si="97"/>
        <v>NO!</v>
      </c>
      <c r="R189" s="18" t="str">
        <f t="shared" si="97"/>
        <v>YES!</v>
      </c>
      <c r="S189" s="18" t="str">
        <f t="shared" si="97"/>
        <v>YES!</v>
      </c>
      <c r="T189" s="18" t="e">
        <f t="shared" si="97"/>
        <v>#DIV/0!</v>
      </c>
      <c r="U189" s="18" t="e">
        <f t="shared" si="97"/>
        <v>#DIV/0!</v>
      </c>
      <c r="V189" s="18" t="e">
        <f t="shared" si="97"/>
        <v>#DIV/0!</v>
      </c>
      <c r="W189" s="18" t="e">
        <f t="shared" si="97"/>
        <v>#DIV/0!</v>
      </c>
    </row>
    <row r="190" spans="2:23" s="27" customFormat="1" ht="15">
      <c r="B190" s="12" t="s">
        <v>107</v>
      </c>
      <c r="C190" s="5"/>
      <c r="D190" s="5"/>
      <c r="G190" s="18"/>
      <c r="H190" s="18" t="str">
        <f>IF(AND(H89&lt;0,H189="YES!"),"Shrinking",IF(AND(H189="YES!",H89&gt;0),"Expanding",IF(AND(H189="NO!",H41&lt;1),"Stable",IF(AND(H189="NO!",H41&gt;1),"UD","N/A"))))</f>
        <v>Shrinking</v>
      </c>
      <c r="I190" s="18" t="str">
        <f aca="true" t="shared" si="98" ref="I190:W190">IF(AND(I89&lt;0,I189="YES!"),"Shrinking",IF(AND(I189="YES!",I89&gt;0),"Expanding",IF(AND(I189="NO!",I41&lt;1),"Stable",IF(AND(I189="NO!",I41&gt;1),"UD","N/A"))))</f>
        <v>Shrinking</v>
      </c>
      <c r="J190" s="18" t="str">
        <f t="shared" si="98"/>
        <v>Shrinking</v>
      </c>
      <c r="K190" s="18" t="str">
        <f t="shared" si="98"/>
        <v>Expanding</v>
      </c>
      <c r="L190" s="18" t="e">
        <f t="shared" si="98"/>
        <v>#DIV/0!</v>
      </c>
      <c r="M190" s="18" t="str">
        <f t="shared" si="98"/>
        <v>Shrinking</v>
      </c>
      <c r="N190" s="18" t="str">
        <f t="shared" si="98"/>
        <v>Shrinking</v>
      </c>
      <c r="O190" s="18" t="e">
        <f t="shared" si="98"/>
        <v>#DIV/0!</v>
      </c>
      <c r="P190" s="18" t="str">
        <f t="shared" si="98"/>
        <v>Stable</v>
      </c>
      <c r="Q190" s="18" t="str">
        <f t="shared" si="98"/>
        <v>Stable</v>
      </c>
      <c r="R190" s="18" t="str">
        <f t="shared" si="98"/>
        <v>Shrinking</v>
      </c>
      <c r="S190" s="18" t="str">
        <f t="shared" si="98"/>
        <v>Shrinking</v>
      </c>
      <c r="T190" s="18" t="e">
        <f t="shared" si="98"/>
        <v>#DIV/0!</v>
      </c>
      <c r="U190" s="18" t="e">
        <f t="shared" si="98"/>
        <v>#DIV/0!</v>
      </c>
      <c r="V190" s="18" t="e">
        <f t="shared" si="98"/>
        <v>#DIV/0!</v>
      </c>
      <c r="W190" s="18" t="e">
        <f t="shared" si="98"/>
        <v>#DIV/0!</v>
      </c>
    </row>
    <row r="191" spans="2:23" s="27" customFormat="1" ht="15">
      <c r="B191" s="982" t="str">
        <f>"Lower boundary ("&amp;sigLvl_graph*100&amp;"% C.L.)  of kpoint"</f>
        <v>Lower boundary (85% C.L.)  of kpoint</v>
      </c>
      <c r="G191" s="18" t="s">
        <v>384</v>
      </c>
      <c r="H191" s="18">
        <f>IF(OR(H190="Shrinking",H190="Stable"),IF(AtteuationRate_calc!H188&gt;0,H188*365,"NA"),"NA")</f>
        <v>0.16188530453136296</v>
      </c>
      <c r="I191" s="18">
        <f>IF(OR(I190="Shrinking",I190="Stable"),IF(AtteuationRate_calc!I188&gt;0,I188*365,"NA"),"NA")</f>
        <v>0.9126526665118497</v>
      </c>
      <c r="J191" s="18">
        <f>IF(OR(J190="Shrinking",J190="Stable"),IF(AtteuationRate_calc!J188&gt;0,J188*365,"NA"),"NA")</f>
        <v>0.7015706622162862</v>
      </c>
      <c r="K191" s="18" t="str">
        <f>IF(OR(K190="Shrinking",K190="Stable"),IF(AtteuationRate_calc!K188&gt;0,K188*365,"NA"),"NA")</f>
        <v>NA</v>
      </c>
      <c r="L191" s="18" t="e">
        <f>IF(OR(L190="Shrinking",L190="Stable"),IF(AtteuationRate_calc!L188&gt;0,L188*365,"NA"),"NA")</f>
        <v>#DIV/0!</v>
      </c>
      <c r="M191" s="18">
        <f>IF(OR(M190="Shrinking",M190="Stable"),IF(AtteuationRate_calc!M188&gt;0,M188*365,"NA"),"NA")</f>
        <v>0.14083068763784073</v>
      </c>
      <c r="N191" s="18">
        <f>IF(OR(N190="Shrinking",N190="Stable"),IF(AtteuationRate_calc!N188&gt;0,N188*365,"NA"),"NA")</f>
        <v>0.3779347541061124</v>
      </c>
      <c r="O191" s="18" t="e">
        <f>IF(OR(O190="Shrinking",O190="Stable"),IF(AtteuationRate_calc!O188&gt;0,O188*365,"NA"),"NA")</f>
        <v>#DIV/0!</v>
      </c>
      <c r="P191" s="18" t="str">
        <f>IF(OR(P190="Shrinking",P190="Stable"),IF(AtteuationRate_calc!P188&gt;0,P188*365,"NA"),"NA")</f>
        <v>NA</v>
      </c>
      <c r="Q191" s="18" t="str">
        <f>IF(OR(Q190="Shrinking",Q190="Stable"),IF(AtteuationRate_calc!Q188&gt;0,Q188*365,"NA"),"NA")</f>
        <v>NA</v>
      </c>
      <c r="R191" s="18">
        <f>IF(OR(R190="Shrinking",R190="Stable"),IF(AtteuationRate_calc!R188&gt;0,R188*365,"NA"),"NA")</f>
        <v>1.9875198783451016</v>
      </c>
      <c r="S191" s="18">
        <f>IF(OR(S190="Shrinking",S190="Stable"),IF(AtteuationRate_calc!S188&gt;0,S188*365,"NA"),"NA")</f>
        <v>1.1311205879318948</v>
      </c>
      <c r="T191" s="18" t="e">
        <f>IF(OR(T190="Shrinking",T190="Stable"),IF(AtteuationRate_calc!T188&gt;0,T188*365,"NA"),"NA")</f>
        <v>#DIV/0!</v>
      </c>
      <c r="U191" s="18" t="e">
        <f>IF(OR(U190="Shrinking",U190="Stable"),IF(AtteuationRate_calc!U188&gt;0,U188*365,"NA"),"NA")</f>
        <v>#DIV/0!</v>
      </c>
      <c r="V191" s="18" t="e">
        <f>IF(OR(V190="Shrinking",V190="Stable"),IF(AtteuationRate_calc!V188&gt;0,V188*365,"NA"),"NA")</f>
        <v>#DIV/0!</v>
      </c>
      <c r="W191" s="18" t="e">
        <f>IF(OR(W190="Shrinking",W190="Stable"),IF(AtteuationRate_calc!W188&gt;0,W188*365,"NA"),"NA")</f>
        <v>#DIV/0!</v>
      </c>
    </row>
    <row r="192" spans="2:23" s="27" customFormat="1" ht="15">
      <c r="B192" s="982" t="str">
        <f>"Lower boundary ("&amp;sigLvl_graph*100&amp;"% C.L.)  of halflife"</f>
        <v>Lower boundary (85% C.L.)  of halflife</v>
      </c>
      <c r="G192" s="18" t="s">
        <v>287</v>
      </c>
      <c r="H192" s="18">
        <f>IF(OR(H190="Shrinking",H190="Stable"),IF(AtteuationRate_calc!H188&gt;0,-LN(0.5)/H191,"NA"),"NA")</f>
        <v>4.28171774186988</v>
      </c>
      <c r="I192" s="18">
        <f>IF(OR(I190="Shrinking",I190="Stable"),IF(AtteuationRate_calc!I188&gt;0,-LN(0.5)/I191,"NA"),"NA")</f>
        <v>0.759486282124335</v>
      </c>
      <c r="J192" s="18">
        <f>IF(OR(J190="Shrinking",J190="Stable"),IF(AtteuationRate_calc!J188&gt;0,-LN(0.5)/J191,"NA"),"NA")</f>
        <v>0.9879933952344432</v>
      </c>
      <c r="K192" s="18" t="str">
        <f>IF(OR(K190="Shrinking",K190="Stable"),IF(AtteuationRate_calc!K188&gt;0,-LN(0.5)/K191,"NA"),"NA")</f>
        <v>NA</v>
      </c>
      <c r="L192" s="18" t="e">
        <f>IF(OR(L190="Shrinking",L190="Stable"),IF(AtteuationRate_calc!L188&gt;0,-LN(0.5)/L191,"NA"),"NA")</f>
        <v>#DIV/0!</v>
      </c>
      <c r="M192" s="18">
        <f>IF(OR(M190="Shrinking",M190="Stable"),IF(AtteuationRate_calc!M188&gt;0,-LN(0.5)/M191,"NA"),"NA")</f>
        <v>4.921847590082341</v>
      </c>
      <c r="N192" s="18">
        <f>IF(OR(N190="Shrinking",N190="Stable"),IF(AtteuationRate_calc!N188&gt;0,-LN(0.5)/N191,"NA"),"NA")</f>
        <v>1.8340392700834574</v>
      </c>
      <c r="O192" s="18" t="e">
        <f>IF(OR(O190="Shrinking",O190="Stable"),IF(AtteuationRate_calc!O188&gt;0,-LN(0.5)/O191,"NA"),"NA")</f>
        <v>#DIV/0!</v>
      </c>
      <c r="P192" s="18" t="str">
        <f>IF(OR(P190="Shrinking",P190="Stable"),IF(AtteuationRate_calc!P188&gt;0,-LN(0.5)/P191,"NA"),"NA")</f>
        <v>NA</v>
      </c>
      <c r="Q192" s="18" t="str">
        <f>IF(OR(Q190="Shrinking",Q190="Stable"),IF(AtteuationRate_calc!Q188&gt;0,-LN(0.5)/Q191,"NA"),"NA")</f>
        <v>NA</v>
      </c>
      <c r="R192" s="18">
        <f>IF(OR(R190="Shrinking",R190="Stable"),IF(AtteuationRate_calc!R188&gt;0,-LN(0.5)/R191,"NA"),"NA")</f>
        <v>0.34874981030986757</v>
      </c>
      <c r="S192" s="18">
        <f>IF(OR(S190="Shrinking",S190="Stable"),IF(AtteuationRate_calc!S188&gt;0,-LN(0.5)/S191,"NA"),"NA")</f>
        <v>0.6127968918214757</v>
      </c>
      <c r="T192" s="18" t="e">
        <f>IF(OR(T190="Shrinking",T190="Stable"),IF(AtteuationRate_calc!T188&gt;0,-LN(0.5)/T191,"NA"),"NA")</f>
        <v>#DIV/0!</v>
      </c>
      <c r="U192" s="18" t="e">
        <f>IF(OR(U190="Shrinking",U190="Stable"),IF(AtteuationRate_calc!U188&gt;0,-LN(0.5)/U191,"NA"),"NA")</f>
        <v>#DIV/0!</v>
      </c>
      <c r="V192" s="18" t="e">
        <f>IF(OR(V190="Shrinking",V190="Stable"),IF(AtteuationRate_calc!V188&gt;0,-LN(0.5)/V191,"NA"),"NA")</f>
        <v>#DIV/0!</v>
      </c>
      <c r="W192" s="18" t="e">
        <f>IF(OR(W190="Shrinking",W190="Stable"),IF(AtteuationRate_calc!W188&gt;0,-LN(0.5)/W191,"NA"),"NA")</f>
        <v>#DIV/0!</v>
      </c>
    </row>
    <row r="193" spans="2:23" s="27" customFormat="1" ht="15">
      <c r="B193" s="27" t="s">
        <v>294</v>
      </c>
      <c r="G193" s="18"/>
      <c r="H193" s="18">
        <f>H86</f>
        <v>7941.844936697054</v>
      </c>
      <c r="I193" s="18">
        <f aca="true" t="shared" si="99" ref="I193:W193">I86</f>
        <v>9339.906737168883</v>
      </c>
      <c r="J193" s="18">
        <f t="shared" si="99"/>
        <v>681.0377474022507</v>
      </c>
      <c r="K193" s="18">
        <f t="shared" si="99"/>
        <v>33.23181435189508</v>
      </c>
      <c r="L193" s="18" t="e">
        <f t="shared" si="99"/>
        <v>#DIV/0!</v>
      </c>
      <c r="M193" s="18">
        <f t="shared" si="99"/>
        <v>1793.7068734356374</v>
      </c>
      <c r="N193" s="18">
        <f t="shared" si="99"/>
        <v>3671.9201640936226</v>
      </c>
      <c r="O193" s="18" t="e">
        <f t="shared" si="99"/>
        <v>#DIV/0!</v>
      </c>
      <c r="P193" s="18">
        <f t="shared" si="99"/>
        <v>466.80528252909625</v>
      </c>
      <c r="Q193" s="18">
        <f t="shared" si="99"/>
        <v>496.19855394745485</v>
      </c>
      <c r="R193" s="18">
        <f t="shared" si="99"/>
        <v>1496.4036548464721</v>
      </c>
      <c r="S193" s="18">
        <f t="shared" si="99"/>
        <v>425.8278575423013</v>
      </c>
      <c r="T193" s="18" t="e">
        <f t="shared" si="99"/>
        <v>#DIV/0!</v>
      </c>
      <c r="U193" s="18" t="e">
        <f t="shared" si="99"/>
        <v>#DIV/0!</v>
      </c>
      <c r="V193" s="18" t="e">
        <f t="shared" si="99"/>
        <v>#DIV/0!</v>
      </c>
      <c r="W193" s="18" t="e">
        <f t="shared" si="99"/>
        <v>#DIV/0!</v>
      </c>
    </row>
    <row r="194" spans="2:23" s="27" customFormat="1" ht="15">
      <c r="B194" s="27" t="s">
        <v>389</v>
      </c>
      <c r="G194" s="18"/>
      <c r="H194" s="18">
        <f>H89</f>
        <v>-0.8359714421107435</v>
      </c>
      <c r="I194" s="18">
        <f aca="true" t="shared" si="100" ref="I194:W194">I89</f>
        <v>-0.9285319314450703</v>
      </c>
      <c r="J194" s="18">
        <f t="shared" si="100"/>
        <v>-0.9202779955659748</v>
      </c>
      <c r="K194" s="18">
        <f t="shared" si="100"/>
        <v>0.9684112873650019</v>
      </c>
      <c r="L194" s="18" t="e">
        <f t="shared" si="100"/>
        <v>#DIV/0!</v>
      </c>
      <c r="M194" s="18">
        <f t="shared" si="100"/>
        <v>-0.7761200744045661</v>
      </c>
      <c r="N194" s="18">
        <f t="shared" si="100"/>
        <v>-0.89189680351502</v>
      </c>
      <c r="O194" s="18" t="e">
        <f t="shared" si="100"/>
        <v>#DIV/0!</v>
      </c>
      <c r="P194" s="18">
        <f t="shared" si="100"/>
        <v>-0.224855054443166</v>
      </c>
      <c r="Q194" s="18">
        <f t="shared" si="100"/>
        <v>-0.1236344356146136</v>
      </c>
      <c r="R194" s="18">
        <f t="shared" si="100"/>
        <v>-0.9940417353977591</v>
      </c>
      <c r="S194" s="18">
        <f t="shared" si="100"/>
        <v>-0.9272039243062423</v>
      </c>
      <c r="T194" s="18" t="e">
        <f t="shared" si="100"/>
        <v>#DIV/0!</v>
      </c>
      <c r="U194" s="18" t="e">
        <f t="shared" si="100"/>
        <v>#DIV/0!</v>
      </c>
      <c r="V194" s="18" t="e">
        <f t="shared" si="100"/>
        <v>#DIV/0!</v>
      </c>
      <c r="W194" s="18" t="e">
        <f t="shared" si="100"/>
        <v>#DIV/0!</v>
      </c>
    </row>
    <row r="195" spans="7:23" s="27" customFormat="1" ht="15">
      <c r="G195" s="18"/>
      <c r="H195" s="18"/>
      <c r="I195" s="18"/>
      <c r="J195" s="18"/>
      <c r="K195" s="18"/>
      <c r="L195" s="18"/>
      <c r="M195" s="18"/>
      <c r="N195" s="18"/>
      <c r="O195" s="18"/>
      <c r="P195" s="18"/>
      <c r="Q195" s="18"/>
      <c r="R195" s="18"/>
      <c r="S195" s="18"/>
      <c r="T195" s="18"/>
      <c r="U195" s="18"/>
      <c r="V195" s="18"/>
      <c r="W195" s="18"/>
    </row>
    <row r="196" spans="7:23" s="58" customFormat="1" ht="15">
      <c r="G196" s="46"/>
      <c r="H196" s="46"/>
      <c r="I196" s="46"/>
      <c r="J196" s="46"/>
      <c r="K196" s="46"/>
      <c r="L196" s="46"/>
      <c r="M196" s="46"/>
      <c r="N196" s="46"/>
      <c r="O196" s="46"/>
      <c r="P196" s="46"/>
      <c r="Q196" s="46"/>
      <c r="R196" s="46"/>
      <c r="S196" s="46"/>
      <c r="T196" s="46"/>
      <c r="U196" s="46"/>
      <c r="V196" s="46"/>
      <c r="W196" s="46"/>
    </row>
    <row r="197" spans="3:15" ht="15.75" thickBot="1">
      <c r="C197" s="5" t="s">
        <v>204</v>
      </c>
      <c r="H197" s="1"/>
      <c r="I197" s="1"/>
      <c r="J197" s="1"/>
      <c r="K197" s="1"/>
      <c r="L197" s="1"/>
      <c r="M197" s="1"/>
      <c r="N197" s="1"/>
      <c r="O197" s="1"/>
    </row>
    <row r="198" spans="2:15" ht="18">
      <c r="B198" s="47" t="s">
        <v>193</v>
      </c>
      <c r="C198" s="48" t="s">
        <v>194</v>
      </c>
      <c r="D198" s="48" t="s">
        <v>195</v>
      </c>
      <c r="E198" s="48" t="s">
        <v>190</v>
      </c>
      <c r="F198" s="49" t="s">
        <v>183</v>
      </c>
      <c r="H198" s="1"/>
      <c r="I198" s="1"/>
      <c r="J198" s="1"/>
      <c r="K198" s="1"/>
      <c r="L198" s="1"/>
      <c r="M198" s="1"/>
      <c r="N198" s="1"/>
      <c r="O198" s="1"/>
    </row>
    <row r="199" spans="2:6" ht="15">
      <c r="B199" s="50">
        <v>34229</v>
      </c>
      <c r="C199" s="13">
        <f>0</f>
        <v>0</v>
      </c>
      <c r="D199" s="13">
        <v>1900</v>
      </c>
      <c r="E199" s="18">
        <f>LN(D199)</f>
        <v>7.549609165154532</v>
      </c>
      <c r="F199" s="21">
        <f>C199^2</f>
        <v>0</v>
      </c>
    </row>
    <row r="200" spans="2:6" ht="15">
      <c r="B200" s="50">
        <v>34600</v>
      </c>
      <c r="C200" s="13">
        <f aca="true" t="shared" si="101" ref="C200:C215">B200-$B$199</f>
        <v>371</v>
      </c>
      <c r="D200" s="13">
        <v>1800</v>
      </c>
      <c r="E200" s="18">
        <f aca="true" t="shared" si="102" ref="E200:E215">LN(D200)</f>
        <v>7.495541943884256</v>
      </c>
      <c r="F200" s="21">
        <f aca="true" t="shared" si="103" ref="F200:F215">C200^2</f>
        <v>137641</v>
      </c>
    </row>
    <row r="201" spans="2:6" ht="15">
      <c r="B201" s="50">
        <v>35202</v>
      </c>
      <c r="C201" s="13">
        <f t="shared" si="101"/>
        <v>973</v>
      </c>
      <c r="D201" s="13">
        <v>1300</v>
      </c>
      <c r="E201" s="18">
        <f t="shared" si="102"/>
        <v>7.170119543449628</v>
      </c>
      <c r="F201" s="21">
        <f t="shared" si="103"/>
        <v>946729</v>
      </c>
    </row>
    <row r="202" spans="2:6" ht="15">
      <c r="B202" s="50">
        <v>35287</v>
      </c>
      <c r="C202" s="13">
        <f t="shared" si="101"/>
        <v>1058</v>
      </c>
      <c r="D202" s="13">
        <v>980</v>
      </c>
      <c r="E202" s="18">
        <f t="shared" si="102"/>
        <v>6.887552571664617</v>
      </c>
      <c r="F202" s="21">
        <f t="shared" si="103"/>
        <v>1119364</v>
      </c>
    </row>
    <row r="203" spans="2:6" ht="15">
      <c r="B203" s="50">
        <v>35376</v>
      </c>
      <c r="C203" s="13">
        <f t="shared" si="101"/>
        <v>1147</v>
      </c>
      <c r="D203" s="13">
        <v>620</v>
      </c>
      <c r="E203" s="18">
        <f t="shared" si="102"/>
        <v>6.429719478039138</v>
      </c>
      <c r="F203" s="21">
        <f t="shared" si="103"/>
        <v>1315609</v>
      </c>
    </row>
    <row r="204" spans="2:6" ht="15">
      <c r="B204" s="50">
        <v>35772</v>
      </c>
      <c r="C204" s="13">
        <f t="shared" si="101"/>
        <v>1543</v>
      </c>
      <c r="D204" s="13">
        <v>500</v>
      </c>
      <c r="E204" s="18">
        <f t="shared" si="102"/>
        <v>6.214608098422191</v>
      </c>
      <c r="F204" s="21">
        <f t="shared" si="103"/>
        <v>2380849</v>
      </c>
    </row>
    <row r="205" spans="2:6" ht="15">
      <c r="B205" s="50">
        <v>35881</v>
      </c>
      <c r="C205" s="13">
        <f t="shared" si="101"/>
        <v>1652</v>
      </c>
      <c r="D205" s="13">
        <v>635</v>
      </c>
      <c r="E205" s="18">
        <f t="shared" si="102"/>
        <v>6.453624998892692</v>
      </c>
      <c r="F205" s="21">
        <f t="shared" si="103"/>
        <v>2729104</v>
      </c>
    </row>
    <row r="206" spans="2:6" ht="15">
      <c r="B206" s="50">
        <v>35999</v>
      </c>
      <c r="C206" s="13">
        <f t="shared" si="101"/>
        <v>1770</v>
      </c>
      <c r="D206" s="13">
        <v>470</v>
      </c>
      <c r="E206" s="18">
        <f t="shared" si="102"/>
        <v>6.152732694704104</v>
      </c>
      <c r="F206" s="21">
        <f t="shared" si="103"/>
        <v>3132900</v>
      </c>
    </row>
    <row r="207" spans="2:6" ht="15">
      <c r="B207" s="50">
        <v>36056</v>
      </c>
      <c r="C207" s="13">
        <f t="shared" si="101"/>
        <v>1827</v>
      </c>
      <c r="D207" s="13">
        <v>1210</v>
      </c>
      <c r="E207" s="18">
        <f t="shared" si="102"/>
        <v>7.098375638590786</v>
      </c>
      <c r="F207" s="21">
        <f t="shared" si="103"/>
        <v>3337929</v>
      </c>
    </row>
    <row r="208" spans="2:6" ht="15">
      <c r="B208" s="50">
        <v>36145</v>
      </c>
      <c r="C208" s="13">
        <f t="shared" si="101"/>
        <v>1916</v>
      </c>
      <c r="D208" s="13">
        <v>379</v>
      </c>
      <c r="E208" s="18">
        <f t="shared" si="102"/>
        <v>5.937536205082426</v>
      </c>
      <c r="F208" s="21">
        <f t="shared" si="103"/>
        <v>3671056</v>
      </c>
    </row>
    <row r="209" spans="2:6" ht="15">
      <c r="B209" s="50">
        <v>36220</v>
      </c>
      <c r="C209" s="13">
        <f t="shared" si="101"/>
        <v>1991</v>
      </c>
      <c r="D209" s="13">
        <v>700</v>
      </c>
      <c r="E209" s="18">
        <f t="shared" si="102"/>
        <v>6.551080335043404</v>
      </c>
      <c r="F209" s="21">
        <f t="shared" si="103"/>
        <v>3964081</v>
      </c>
    </row>
    <row r="210" spans="2:6" ht="15">
      <c r="B210" s="50">
        <v>36332</v>
      </c>
      <c r="C210" s="13">
        <f t="shared" si="101"/>
        <v>2103</v>
      </c>
      <c r="D210" s="13">
        <v>574</v>
      </c>
      <c r="E210" s="18">
        <f t="shared" si="102"/>
        <v>6.352629396319567</v>
      </c>
      <c r="F210" s="21">
        <f t="shared" si="103"/>
        <v>4422609</v>
      </c>
    </row>
    <row r="211" spans="2:6" ht="15">
      <c r="B211" s="50">
        <v>36410</v>
      </c>
      <c r="C211" s="13">
        <f t="shared" si="101"/>
        <v>2181</v>
      </c>
      <c r="D211" s="13">
        <v>792</v>
      </c>
      <c r="E211" s="18">
        <f t="shared" si="102"/>
        <v>6.674561391814426</v>
      </c>
      <c r="F211" s="21">
        <f t="shared" si="103"/>
        <v>4756761</v>
      </c>
    </row>
    <row r="212" spans="2:6" ht="15">
      <c r="B212" s="50">
        <v>36410</v>
      </c>
      <c r="C212" s="13">
        <f t="shared" si="101"/>
        <v>2181</v>
      </c>
      <c r="D212" s="13">
        <v>1050</v>
      </c>
      <c r="E212" s="18">
        <f t="shared" si="102"/>
        <v>6.956545443151569</v>
      </c>
      <c r="F212" s="21">
        <f t="shared" si="103"/>
        <v>4756761</v>
      </c>
    </row>
    <row r="213" spans="2:6" ht="15">
      <c r="B213" s="50">
        <v>36524</v>
      </c>
      <c r="C213" s="13">
        <f t="shared" si="101"/>
        <v>2295</v>
      </c>
      <c r="D213" s="13">
        <v>525</v>
      </c>
      <c r="E213" s="18">
        <f t="shared" si="102"/>
        <v>6.263398262591624</v>
      </c>
      <c r="F213" s="21">
        <f t="shared" si="103"/>
        <v>5267025</v>
      </c>
    </row>
    <row r="214" spans="2:6" ht="15">
      <c r="B214" s="50">
        <v>36605</v>
      </c>
      <c r="C214" s="13">
        <f t="shared" si="101"/>
        <v>2376</v>
      </c>
      <c r="D214" s="13">
        <v>501</v>
      </c>
      <c r="E214" s="18">
        <f t="shared" si="102"/>
        <v>6.2166061010848646</v>
      </c>
      <c r="F214" s="21">
        <f t="shared" si="103"/>
        <v>5645376</v>
      </c>
    </row>
    <row r="215" spans="2:6" ht="15">
      <c r="B215" s="50">
        <v>36699</v>
      </c>
      <c r="C215" s="13">
        <f t="shared" si="101"/>
        <v>2470</v>
      </c>
      <c r="D215" s="13">
        <v>420</v>
      </c>
      <c r="E215" s="18">
        <f t="shared" si="102"/>
        <v>6.040254711277414</v>
      </c>
      <c r="F215" s="21">
        <f t="shared" si="103"/>
        <v>6100900</v>
      </c>
    </row>
    <row r="216" spans="2:6" ht="15.75" thickBot="1">
      <c r="B216" s="51" t="s">
        <v>163</v>
      </c>
      <c r="C216" s="18">
        <f>SUM(C199:C215)</f>
        <v>27854</v>
      </c>
      <c r="D216" s="18"/>
      <c r="E216" s="18"/>
      <c r="F216" s="21">
        <f>SUM(F199:F215)</f>
        <v>53684694</v>
      </c>
    </row>
    <row r="217" spans="2:6" ht="15.75" thickBot="1">
      <c r="B217" s="54"/>
      <c r="C217" s="55"/>
      <c r="D217" s="55"/>
      <c r="E217" s="55" t="s">
        <v>6</v>
      </c>
      <c r="F217" s="56" t="s">
        <v>131</v>
      </c>
    </row>
    <row r="218" spans="2:13" ht="15">
      <c r="B218" s="51"/>
      <c r="C218" s="18" t="s">
        <v>18</v>
      </c>
      <c r="D218" s="18"/>
      <c r="E218" s="13">
        <f>ABS(SLOPE(E199:E215,C199:C215))</f>
        <v>0.000513870840794323</v>
      </c>
      <c r="F218" s="52">
        <f>E218*365</f>
        <v>0.18756285688992788</v>
      </c>
      <c r="J218" s="83" t="s">
        <v>295</v>
      </c>
      <c r="K218" s="84" t="s">
        <v>300</v>
      </c>
      <c r="L218" s="86" t="s">
        <v>299</v>
      </c>
      <c r="M218" s="8" t="s">
        <v>296</v>
      </c>
    </row>
    <row r="219" spans="2:13" ht="15">
      <c r="B219" s="51"/>
      <c r="C219" s="18" t="s">
        <v>294</v>
      </c>
      <c r="D219" s="18"/>
      <c r="E219" s="13">
        <f>ABS(INTERCEPT(E200:E216,C200:C216))</f>
        <v>7.396100066699862</v>
      </c>
      <c r="F219" s="52"/>
      <c r="H219" s="5">
        <f>EXP(E219)</f>
        <v>1629.6166249173307</v>
      </c>
      <c r="J219" s="179">
        <f>-LN(20/H219)/F218</f>
        <v>23.460763320150573</v>
      </c>
      <c r="K219" s="1">
        <f>H219*EXP(-F218*I224)</f>
        <v>457.9862170746483</v>
      </c>
      <c r="L219" s="88">
        <f>J219-I224</f>
        <v>16.69364003247934</v>
      </c>
      <c r="M219" s="180">
        <f>-LN(20/420)/F218</f>
        <v>16.232011434492676</v>
      </c>
    </row>
    <row r="220" spans="2:13" ht="15">
      <c r="B220" s="51"/>
      <c r="C220" s="18" t="s">
        <v>182</v>
      </c>
      <c r="D220" s="18"/>
      <c r="E220" s="18">
        <f>STEYX(E199:E215,C199:C215)</f>
        <v>0.35016387027125706</v>
      </c>
      <c r="F220" s="52"/>
      <c r="J220" s="179"/>
      <c r="K220" s="1"/>
      <c r="L220" s="88"/>
      <c r="M220" s="180"/>
    </row>
    <row r="221" spans="2:15" ht="15">
      <c r="B221" s="51"/>
      <c r="C221" s="53" t="s">
        <v>184</v>
      </c>
      <c r="D221" s="18"/>
      <c r="E221" s="18">
        <f>C216</f>
        <v>27854</v>
      </c>
      <c r="F221" s="52"/>
      <c r="H221" s="5" t="s">
        <v>297</v>
      </c>
      <c r="J221" s="179"/>
      <c r="K221" s="1"/>
      <c r="L221" s="88"/>
      <c r="M221" s="180"/>
      <c r="O221" s="177"/>
    </row>
    <row r="222" spans="2:13" ht="18">
      <c r="B222" s="51"/>
      <c r="C222" s="53" t="s">
        <v>185</v>
      </c>
      <c r="D222" s="18"/>
      <c r="E222" s="18">
        <f>F216</f>
        <v>53684694</v>
      </c>
      <c r="F222" s="52"/>
      <c r="J222" s="179"/>
      <c r="K222" s="1"/>
      <c r="L222" s="88"/>
      <c r="M222" s="180"/>
    </row>
    <row r="223" spans="2:13" ht="18">
      <c r="B223" s="51"/>
      <c r="C223" s="18" t="s">
        <v>188</v>
      </c>
      <c r="D223" s="18"/>
      <c r="E223" s="18">
        <f>E222-(E221^2)/E224</f>
        <v>8046734.2352941185</v>
      </c>
      <c r="F223" s="52"/>
      <c r="J223" s="179"/>
      <c r="K223" s="1"/>
      <c r="L223" s="88"/>
      <c r="M223" s="180"/>
    </row>
    <row r="224" spans="2:13" ht="15">
      <c r="B224" s="51"/>
      <c r="C224" s="18" t="s">
        <v>20</v>
      </c>
      <c r="D224" s="18"/>
      <c r="E224" s="13">
        <f>COUNT(D199:D215)</f>
        <v>17</v>
      </c>
      <c r="F224" s="52"/>
      <c r="H224" s="5" t="s">
        <v>298</v>
      </c>
      <c r="I224" s="178">
        <f>(B215-B199)/365</f>
        <v>6.767123287671233</v>
      </c>
      <c r="J224" s="179"/>
      <c r="K224" s="1"/>
      <c r="L224" s="88"/>
      <c r="M224" s="180"/>
    </row>
    <row r="225" spans="2:13" ht="15">
      <c r="B225" s="51"/>
      <c r="C225" s="18" t="s">
        <v>186</v>
      </c>
      <c r="D225" s="18"/>
      <c r="E225" s="46">
        <v>0.95</v>
      </c>
      <c r="F225" s="52"/>
      <c r="J225" s="179"/>
      <c r="K225" s="1"/>
      <c r="L225" s="88"/>
      <c r="M225" s="180"/>
    </row>
    <row r="226" spans="2:13" ht="18">
      <c r="B226" s="51"/>
      <c r="C226" s="18" t="s">
        <v>187</v>
      </c>
      <c r="D226" s="18"/>
      <c r="E226" s="18">
        <f>TINV((1-E225)*2,E224-1)</f>
        <v>1.7458836689428865</v>
      </c>
      <c r="F226" s="52"/>
      <c r="J226" s="179"/>
      <c r="K226" s="1"/>
      <c r="L226" s="88"/>
      <c r="M226" s="180"/>
    </row>
    <row r="227" spans="2:13" ht="15">
      <c r="B227" s="3"/>
      <c r="C227" s="18" t="s">
        <v>189</v>
      </c>
      <c r="D227" s="1"/>
      <c r="E227" s="18">
        <f>E226*E220/SQRT(E223)</f>
        <v>0.00021551465495717287</v>
      </c>
      <c r="F227" s="52">
        <f>E227*365</f>
        <v>0.0786628490593681</v>
      </c>
      <c r="J227" s="89">
        <f>-LN(20/H219)/F228</f>
        <v>40.40741484603483</v>
      </c>
      <c r="K227" s="90">
        <f>H219*EXP(-F228*I224)</f>
        <v>779.8957740029213</v>
      </c>
      <c r="L227" s="92">
        <f>J227-I224</f>
        <v>33.6402915583636</v>
      </c>
      <c r="M227" s="181">
        <f>-LN(20/420)/F228</f>
        <v>27.957045168081812</v>
      </c>
    </row>
    <row r="228" spans="2:6" ht="15">
      <c r="B228" s="3"/>
      <c r="C228" s="1" t="s">
        <v>192</v>
      </c>
      <c r="D228" s="1"/>
      <c r="E228" s="1"/>
      <c r="F228" s="4">
        <f>F218-F227</f>
        <v>0.10890000783055978</v>
      </c>
    </row>
    <row r="229" spans="2:6" ht="15">
      <c r="B229" s="3"/>
      <c r="C229" s="1" t="s">
        <v>24</v>
      </c>
      <c r="D229" s="1"/>
      <c r="E229" s="1">
        <f>CORREL(C199:C215,E199:E215)</f>
        <v>-0.732138539757409</v>
      </c>
      <c r="F229" s="4"/>
    </row>
    <row r="230" spans="2:6" ht="15.75" thickBot="1">
      <c r="B230" s="10"/>
      <c r="C230" s="11"/>
      <c r="D230" s="11"/>
      <c r="E230" s="11"/>
      <c r="F230" s="25"/>
    </row>
  </sheetData>
  <sheetProtection/>
  <mergeCells count="4">
    <mergeCell ref="H149:W149"/>
    <mergeCell ref="H126:W126"/>
    <mergeCell ref="B98:D98"/>
    <mergeCell ref="B189:D189"/>
  </mergeCells>
  <printOptions/>
  <pageMargins left="0.75" right="0.75" top="1" bottom="1" header="0.5" footer="0.5"/>
  <pageSetup fitToHeight="1" fitToWidth="1" horizontalDpi="600" verticalDpi="600" orientation="landscape" scale="14" r:id="rId2"/>
  <legacyDrawing r:id="rId1"/>
</worksheet>
</file>

<file path=xl/worksheets/sheet13.xml><?xml version="1.0" encoding="utf-8"?>
<worksheet xmlns="http://schemas.openxmlformats.org/spreadsheetml/2006/main" xmlns:r="http://schemas.openxmlformats.org/officeDocument/2006/relationships">
  <sheetPr codeName="Sheet14"/>
  <dimension ref="A1:A1"/>
  <sheetViews>
    <sheetView showGridLines="0" showRowColHeaders="0" zoomScale="155" zoomScaleNormal="155" zoomScalePageLayoutView="0" workbookViewId="0" topLeftCell="A4">
      <selection activeCell="A1" sqref="A1"/>
    </sheetView>
  </sheetViews>
  <sheetFormatPr defaultColWidth="9.33203125" defaultRowHeight="12.75"/>
  <cols>
    <col min="1" max="9" width="8.83203125" style="606" customWidth="1"/>
    <col min="10" max="10" width="6.16015625" style="606" customWidth="1"/>
    <col min="11" max="11" width="4" style="606" customWidth="1"/>
    <col min="12" max="12" width="2.33203125" style="606" customWidth="1"/>
    <col min="13" max="16384" width="8.83203125" style="606" customWidth="1"/>
  </cols>
  <sheetData>
    <row r="1" ht="23.25" customHeight="1"/>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169" ht="39" customHeight="1"/>
  </sheetData>
  <sheetProtection/>
  <printOptions/>
  <pageMargins left="0.75" right="0.75" top="1" bottom="1" header="0.5" footer="0.5"/>
  <pageSetup horizontalDpi="600" verticalDpi="600" orientation="portrait" r:id="rId5"/>
  <drawing r:id="rId4"/>
  <legacyDrawing r:id="rId3"/>
  <oleObjects>
    <oleObject progId="Word.Document.8" shapeId="1785801" r:id="rId1"/>
    <oleObject progId="Word.Document.8" shapeId="1820063" r:id="rId2"/>
  </oleObjects>
</worksheet>
</file>

<file path=xl/worksheets/sheet14.xml><?xml version="1.0" encoding="utf-8"?>
<worksheet xmlns="http://schemas.openxmlformats.org/spreadsheetml/2006/main" xmlns:r="http://schemas.openxmlformats.org/officeDocument/2006/relationships">
  <sheetPr codeName="Sheet12"/>
  <dimension ref="A1:U193"/>
  <sheetViews>
    <sheetView showGridLines="0" showRowColHeaders="0" zoomScale="72" zoomScaleNormal="72"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G29" sqref="G29"/>
    </sheetView>
  </sheetViews>
  <sheetFormatPr defaultColWidth="9.16015625" defaultRowHeight="12.75"/>
  <cols>
    <col min="1" max="1" width="8.16015625" style="725" customWidth="1"/>
    <col min="2" max="2" width="25.16015625" style="726" customWidth="1"/>
    <col min="3" max="3" width="9.16015625" style="725" hidden="1" customWidth="1"/>
    <col min="4" max="4" width="11.66015625" style="725" customWidth="1"/>
    <col min="5" max="5" width="9.5" style="725" customWidth="1"/>
    <col min="6" max="6" width="9.16015625" style="725" customWidth="1"/>
    <col min="7" max="7" width="12.5" style="725" customWidth="1"/>
    <col min="8" max="8" width="9.5" style="725" customWidth="1"/>
    <col min="9" max="9" width="10.5" style="727" customWidth="1"/>
    <col min="10" max="10" width="12.16015625" style="727" customWidth="1"/>
    <col min="11" max="11" width="13.66015625" style="727" customWidth="1"/>
    <col min="12" max="12" width="10.66015625" style="727" customWidth="1"/>
    <col min="13" max="13" width="9.16015625" style="727" customWidth="1"/>
    <col min="14" max="14" width="10.5" style="727" customWidth="1"/>
    <col min="15" max="16" width="9.16015625" style="727" customWidth="1"/>
    <col min="17" max="20" width="9.16015625" style="727" hidden="1" customWidth="1"/>
    <col min="21" max="21" width="11" style="727" hidden="1" customWidth="1"/>
    <col min="22" max="16384" width="9.16015625" style="727" customWidth="1"/>
  </cols>
  <sheetData>
    <row r="1" spans="1:15" ht="22.5">
      <c r="A1" s="101"/>
      <c r="B1" s="102"/>
      <c r="C1" s="101"/>
      <c r="D1" s="103" t="s">
        <v>231</v>
      </c>
      <c r="E1" s="101"/>
      <c r="F1" s="101"/>
      <c r="G1" s="101"/>
      <c r="H1" s="101"/>
      <c r="I1" s="104"/>
      <c r="J1" s="104"/>
      <c r="K1" s="104"/>
      <c r="L1" s="104"/>
      <c r="M1" s="104"/>
      <c r="N1" s="104"/>
      <c r="O1" s="104"/>
    </row>
    <row r="2" spans="1:15" ht="15" customHeight="1" thickBot="1">
      <c r="A2" s="105"/>
      <c r="B2" s="105"/>
      <c r="C2" s="101"/>
      <c r="D2" s="106"/>
      <c r="E2" s="101"/>
      <c r="F2" s="101"/>
      <c r="G2" s="101"/>
      <c r="H2" s="101"/>
      <c r="I2" s="104"/>
      <c r="J2" s="104"/>
      <c r="K2" s="104"/>
      <c r="L2" s="104"/>
      <c r="M2" s="104"/>
      <c r="N2" s="104"/>
      <c r="O2" s="104"/>
    </row>
    <row r="3" spans="1:15" s="728" customFormat="1" ht="31.5" customHeight="1" thickBot="1">
      <c r="A3" s="406"/>
      <c r="B3" s="107"/>
      <c r="C3" s="108"/>
      <c r="D3" s="1154" t="s">
        <v>232</v>
      </c>
      <c r="E3" s="1155"/>
      <c r="F3" s="1155"/>
      <c r="G3" s="1155"/>
      <c r="H3" s="1156"/>
      <c r="I3" s="109"/>
      <c r="J3" s="1157" t="s">
        <v>233</v>
      </c>
      <c r="K3" s="1157"/>
      <c r="L3" s="1157"/>
      <c r="M3" s="1157"/>
      <c r="N3" s="1158"/>
      <c r="O3" s="110"/>
    </row>
    <row r="4" spans="1:15" ht="3.75" customHeight="1">
      <c r="A4" s="407"/>
      <c r="B4" s="111">
        <v>1</v>
      </c>
      <c r="C4" s="112">
        <v>2</v>
      </c>
      <c r="D4" s="113">
        <v>3</v>
      </c>
      <c r="E4" s="113">
        <v>4</v>
      </c>
      <c r="F4" s="113">
        <v>5</v>
      </c>
      <c r="G4" s="113">
        <v>6</v>
      </c>
      <c r="H4" s="114">
        <v>7</v>
      </c>
      <c r="I4" s="115"/>
      <c r="J4" s="116"/>
      <c r="K4" s="116"/>
      <c r="L4" s="116"/>
      <c r="M4" s="116"/>
      <c r="N4" s="117"/>
      <c r="O4" s="104"/>
    </row>
    <row r="5" spans="1:15" s="729" customFormat="1" ht="73.5" customHeight="1">
      <c r="A5" s="119" t="s">
        <v>234</v>
      </c>
      <c r="B5" s="118" t="s">
        <v>235</v>
      </c>
      <c r="C5" s="119" t="s">
        <v>236</v>
      </c>
      <c r="D5" s="120" t="s">
        <v>127</v>
      </c>
      <c r="E5" s="120" t="s">
        <v>128</v>
      </c>
      <c r="F5" s="120" t="s">
        <v>237</v>
      </c>
      <c r="G5" s="120" t="s">
        <v>238</v>
      </c>
      <c r="H5" s="118" t="s">
        <v>129</v>
      </c>
      <c r="I5" s="121" t="s">
        <v>160</v>
      </c>
      <c r="J5" s="122" t="s">
        <v>161</v>
      </c>
      <c r="K5" s="123" t="s">
        <v>274</v>
      </c>
      <c r="L5" s="123" t="s">
        <v>275</v>
      </c>
      <c r="M5" s="122" t="s">
        <v>162</v>
      </c>
      <c r="N5" s="124" t="s">
        <v>276</v>
      </c>
      <c r="O5" s="125"/>
    </row>
    <row r="6" spans="1:21" s="730" customFormat="1" ht="19.5" customHeight="1">
      <c r="A6" s="127"/>
      <c r="B6" s="126"/>
      <c r="C6" s="127"/>
      <c r="D6" s="128" t="s">
        <v>239</v>
      </c>
      <c r="E6" s="128" t="s">
        <v>117</v>
      </c>
      <c r="F6" s="128" t="s">
        <v>277</v>
      </c>
      <c r="G6" s="128" t="s">
        <v>278</v>
      </c>
      <c r="H6" s="129" t="s">
        <v>24</v>
      </c>
      <c r="I6" s="130"/>
      <c r="J6" s="131"/>
      <c r="K6" s="131"/>
      <c r="L6" s="131"/>
      <c r="M6" s="131"/>
      <c r="N6" s="132"/>
      <c r="O6" s="133"/>
      <c r="Q6" s="730" t="s">
        <v>240</v>
      </c>
      <c r="R6" s="730" t="s">
        <v>241</v>
      </c>
      <c r="S6" s="1153" t="s">
        <v>242</v>
      </c>
      <c r="T6" s="1153"/>
      <c r="U6" s="730" t="s">
        <v>243</v>
      </c>
    </row>
    <row r="7" spans="1:21" s="732" customFormat="1" ht="17.25" customHeight="1">
      <c r="A7" s="136"/>
      <c r="B7" s="135"/>
      <c r="C7" s="136"/>
      <c r="D7" s="134" t="s">
        <v>130</v>
      </c>
      <c r="E7" s="134" t="s">
        <v>244</v>
      </c>
      <c r="F7" s="134" t="s">
        <v>2</v>
      </c>
      <c r="G7" s="134" t="s">
        <v>245</v>
      </c>
      <c r="H7" s="135" t="s">
        <v>244</v>
      </c>
      <c r="I7" s="137" t="s">
        <v>2</v>
      </c>
      <c r="J7" s="138" t="s">
        <v>2</v>
      </c>
      <c r="K7" s="138" t="s">
        <v>2</v>
      </c>
      <c r="L7" s="138" t="s">
        <v>2</v>
      </c>
      <c r="M7" s="138" t="s">
        <v>2</v>
      </c>
      <c r="N7" s="139" t="s">
        <v>2</v>
      </c>
      <c r="O7" s="140"/>
      <c r="Q7" s="731" t="s">
        <v>2</v>
      </c>
      <c r="R7" s="731" t="s">
        <v>245</v>
      </c>
      <c r="S7" s="732" t="s">
        <v>246</v>
      </c>
      <c r="T7" s="732" t="s">
        <v>247</v>
      </c>
      <c r="U7" s="732" t="s">
        <v>246</v>
      </c>
    </row>
    <row r="8" spans="1:18" s="738" customFormat="1" ht="15" customHeight="1">
      <c r="A8" s="408"/>
      <c r="B8" s="733" t="s">
        <v>142</v>
      </c>
      <c r="C8" s="734"/>
      <c r="D8" s="735"/>
      <c r="E8" s="735"/>
      <c r="F8" s="735"/>
      <c r="G8" s="735"/>
      <c r="H8" s="735"/>
      <c r="I8" s="736"/>
      <c r="J8" s="736"/>
      <c r="K8" s="736"/>
      <c r="L8" s="736"/>
      <c r="M8" s="736"/>
      <c r="N8" s="737"/>
      <c r="O8" s="141"/>
      <c r="Q8" s="739"/>
      <c r="R8" s="739"/>
    </row>
    <row r="9" spans="1:18" s="738" customFormat="1" ht="12" customHeight="1">
      <c r="A9" s="408"/>
      <c r="B9" s="740" t="s">
        <v>248</v>
      </c>
      <c r="C9" s="741"/>
      <c r="D9" s="742"/>
      <c r="E9" s="742"/>
      <c r="F9" s="742"/>
      <c r="G9" s="742"/>
      <c r="H9" s="742"/>
      <c r="I9" s="743"/>
      <c r="J9" s="743"/>
      <c r="K9" s="743"/>
      <c r="L9" s="743"/>
      <c r="M9" s="743"/>
      <c r="N9" s="744"/>
      <c r="O9" s="141"/>
      <c r="Q9" s="739"/>
      <c r="R9" s="739"/>
    </row>
    <row r="10" spans="1:18" s="738" customFormat="1" ht="14.25" customHeight="1">
      <c r="A10" s="409"/>
      <c r="B10" s="745" t="s">
        <v>249</v>
      </c>
      <c r="C10" s="746"/>
      <c r="D10" s="747"/>
      <c r="E10" s="747"/>
      <c r="F10" s="747"/>
      <c r="G10" s="747"/>
      <c r="H10" s="747"/>
      <c r="I10" s="748"/>
      <c r="J10" s="748"/>
      <c r="K10" s="748"/>
      <c r="L10" s="748"/>
      <c r="M10" s="748"/>
      <c r="N10" s="749"/>
      <c r="O10" s="141"/>
      <c r="Q10" s="739"/>
      <c r="R10" s="739"/>
    </row>
    <row r="11" spans="1:21" s="751" customFormat="1" ht="12.75">
      <c r="A11" s="165"/>
      <c r="B11" s="143" t="s">
        <v>250</v>
      </c>
      <c r="C11" s="144">
        <v>5.5</v>
      </c>
      <c r="D11" s="145">
        <v>81000</v>
      </c>
      <c r="E11" s="145">
        <v>36</v>
      </c>
      <c r="F11" s="145">
        <v>33</v>
      </c>
      <c r="G11" s="145">
        <v>800</v>
      </c>
      <c r="H11" s="146">
        <v>670000</v>
      </c>
      <c r="I11" s="147"/>
      <c r="J11" s="148"/>
      <c r="K11" s="148"/>
      <c r="L11" s="148"/>
      <c r="M11" s="148"/>
      <c r="N11" s="149"/>
      <c r="O11" s="45"/>
      <c r="Q11" s="750">
        <v>33</v>
      </c>
      <c r="R11" s="750">
        <v>800</v>
      </c>
      <c r="S11" s="751">
        <v>0.23</v>
      </c>
      <c r="T11" s="751">
        <v>0.1</v>
      </c>
      <c r="U11" s="752">
        <f aca="true" t="shared" si="0" ref="U11:U34">R11*S11</f>
        <v>184</v>
      </c>
    </row>
    <row r="12" spans="1:21" s="751" customFormat="1" ht="12.75">
      <c r="A12" s="165"/>
      <c r="B12" s="143" t="s">
        <v>251</v>
      </c>
      <c r="C12" s="144">
        <v>7</v>
      </c>
      <c r="D12" s="145">
        <v>100000</v>
      </c>
      <c r="E12" s="145">
        <v>5.4</v>
      </c>
      <c r="F12" s="145">
        <v>50</v>
      </c>
      <c r="G12" s="145">
        <v>3800</v>
      </c>
      <c r="H12" s="146">
        <v>700000</v>
      </c>
      <c r="I12" s="147"/>
      <c r="J12" s="148"/>
      <c r="K12" s="148"/>
      <c r="L12" s="148"/>
      <c r="M12" s="148"/>
      <c r="N12" s="149"/>
      <c r="O12" s="45"/>
      <c r="Q12" s="750">
        <v>50</v>
      </c>
      <c r="R12" s="750">
        <v>3800</v>
      </c>
      <c r="S12" s="751">
        <v>0.19</v>
      </c>
      <c r="T12" s="751">
        <v>0.3</v>
      </c>
      <c r="U12" s="752">
        <f t="shared" si="0"/>
        <v>722</v>
      </c>
    </row>
    <row r="13" spans="1:21" s="751" customFormat="1" ht="12.75">
      <c r="A13" s="165"/>
      <c r="B13" s="143" t="s">
        <v>252</v>
      </c>
      <c r="C13" s="144">
        <v>9</v>
      </c>
      <c r="D13" s="145">
        <v>130000</v>
      </c>
      <c r="E13" s="145">
        <v>0.43</v>
      </c>
      <c r="F13" s="145">
        <v>80</v>
      </c>
      <c r="G13" s="145">
        <v>30200</v>
      </c>
      <c r="H13" s="146">
        <v>730000</v>
      </c>
      <c r="I13" s="147"/>
      <c r="J13" s="148"/>
      <c r="K13" s="148"/>
      <c r="L13" s="148"/>
      <c r="M13" s="148"/>
      <c r="N13" s="149"/>
      <c r="O13" s="45"/>
      <c r="Q13" s="750">
        <v>80</v>
      </c>
      <c r="R13" s="750">
        <v>30200</v>
      </c>
      <c r="S13" s="751">
        <v>0.09</v>
      </c>
      <c r="T13" s="751">
        <v>2</v>
      </c>
      <c r="U13" s="752">
        <f t="shared" si="0"/>
        <v>2718</v>
      </c>
    </row>
    <row r="14" spans="1:21" s="751" customFormat="1" ht="12.75">
      <c r="A14" s="165"/>
      <c r="B14" s="143" t="s">
        <v>253</v>
      </c>
      <c r="C14" s="144">
        <v>11</v>
      </c>
      <c r="D14" s="145">
        <v>160000</v>
      </c>
      <c r="E14" s="145">
        <v>0.034</v>
      </c>
      <c r="F14" s="145">
        <v>120</v>
      </c>
      <c r="G14" s="145">
        <v>234000</v>
      </c>
      <c r="H14" s="146">
        <v>750000</v>
      </c>
      <c r="I14" s="147"/>
      <c r="J14" s="148"/>
      <c r="K14" s="148"/>
      <c r="L14" s="148"/>
      <c r="M14" s="148"/>
      <c r="N14" s="149"/>
      <c r="O14" s="45"/>
      <c r="Q14" s="750">
        <v>120</v>
      </c>
      <c r="R14" s="750">
        <v>234000</v>
      </c>
      <c r="S14" s="751">
        <v>0.03</v>
      </c>
      <c r="T14" s="751">
        <v>8</v>
      </c>
      <c r="U14" s="752">
        <f t="shared" si="0"/>
        <v>7020</v>
      </c>
    </row>
    <row r="15" spans="1:21" s="751" customFormat="1" ht="12.75">
      <c r="A15" s="165"/>
      <c r="B15" s="143" t="s">
        <v>254</v>
      </c>
      <c r="C15" s="144">
        <v>14</v>
      </c>
      <c r="D15" s="145">
        <v>200000</v>
      </c>
      <c r="E15" s="145">
        <v>0.00076</v>
      </c>
      <c r="F15" s="145">
        <v>520</v>
      </c>
      <c r="G15" s="145">
        <v>5370000</v>
      </c>
      <c r="H15" s="146">
        <v>770000</v>
      </c>
      <c r="I15" s="147"/>
      <c r="J15" s="148"/>
      <c r="K15" s="148"/>
      <c r="L15" s="148"/>
      <c r="M15" s="148"/>
      <c r="N15" s="149"/>
      <c r="O15" s="45"/>
      <c r="Q15" s="750">
        <v>520</v>
      </c>
      <c r="R15" s="750">
        <v>5370000</v>
      </c>
      <c r="S15" s="751">
        <v>0</v>
      </c>
      <c r="T15" s="751">
        <v>26</v>
      </c>
      <c r="U15" s="752">
        <f t="shared" si="0"/>
        <v>0</v>
      </c>
    </row>
    <row r="16" spans="1:21" s="751" customFormat="1" ht="12.75">
      <c r="A16" s="165"/>
      <c r="B16" s="143" t="s">
        <v>255</v>
      </c>
      <c r="C16" s="144">
        <v>19</v>
      </c>
      <c r="D16" s="145">
        <v>270000</v>
      </c>
      <c r="E16" s="145">
        <v>1.3E-06</v>
      </c>
      <c r="F16" s="145">
        <v>4900</v>
      </c>
      <c r="G16" s="145">
        <v>9550000000</v>
      </c>
      <c r="H16" s="146">
        <v>780000</v>
      </c>
      <c r="I16" s="147"/>
      <c r="J16" s="148"/>
      <c r="K16" s="148"/>
      <c r="L16" s="148"/>
      <c r="M16" s="148"/>
      <c r="N16" s="149"/>
      <c r="O16" s="45"/>
      <c r="Q16" s="750">
        <v>4900</v>
      </c>
      <c r="R16" s="750">
        <v>9550000000</v>
      </c>
      <c r="S16" s="751">
        <v>0</v>
      </c>
      <c r="T16" s="751">
        <v>34</v>
      </c>
      <c r="U16" s="752">
        <f t="shared" si="0"/>
        <v>0</v>
      </c>
    </row>
    <row r="17" spans="1:21" s="751" customFormat="1" ht="12.75">
      <c r="A17" s="410"/>
      <c r="B17" s="150" t="s">
        <v>256</v>
      </c>
      <c r="C17" s="151">
        <v>28</v>
      </c>
      <c r="D17" s="152">
        <v>400000</v>
      </c>
      <c r="E17" s="152">
        <v>1.5E-11</v>
      </c>
      <c r="F17" s="152">
        <v>100000</v>
      </c>
      <c r="G17" s="152">
        <v>10700000000</v>
      </c>
      <c r="H17" s="153">
        <v>790000</v>
      </c>
      <c r="I17" s="154"/>
      <c r="J17" s="155"/>
      <c r="K17" s="155"/>
      <c r="L17" s="155"/>
      <c r="M17" s="155"/>
      <c r="N17" s="156"/>
      <c r="O17" s="45"/>
      <c r="Q17" s="753">
        <v>100000</v>
      </c>
      <c r="R17" s="753">
        <v>10700000000</v>
      </c>
      <c r="S17" s="751">
        <v>0</v>
      </c>
      <c r="T17" s="751">
        <v>0</v>
      </c>
      <c r="U17" s="752">
        <f t="shared" si="0"/>
        <v>0</v>
      </c>
    </row>
    <row r="18" spans="1:21" s="751" customFormat="1" ht="12.75">
      <c r="A18" s="165"/>
      <c r="B18" s="143" t="s">
        <v>257</v>
      </c>
      <c r="C18" s="144">
        <v>9</v>
      </c>
      <c r="D18" s="145">
        <v>120000</v>
      </c>
      <c r="E18" s="145">
        <v>65</v>
      </c>
      <c r="F18" s="145">
        <v>0.48</v>
      </c>
      <c r="G18" s="145">
        <v>1580</v>
      </c>
      <c r="H18" s="146">
        <v>870000</v>
      </c>
      <c r="I18" s="147"/>
      <c r="J18" s="148"/>
      <c r="K18" s="148"/>
      <c r="L18" s="148"/>
      <c r="M18" s="148"/>
      <c r="N18" s="149"/>
      <c r="O18" s="45"/>
      <c r="Q18" s="750">
        <v>0.48</v>
      </c>
      <c r="R18" s="750">
        <v>1580</v>
      </c>
      <c r="S18" s="751">
        <v>0.13</v>
      </c>
      <c r="T18" s="751">
        <v>0.5</v>
      </c>
      <c r="U18" s="752">
        <f t="shared" si="0"/>
        <v>205.4</v>
      </c>
    </row>
    <row r="19" spans="1:21" s="751" customFormat="1" ht="12.75">
      <c r="A19" s="165"/>
      <c r="B19" s="143" t="s">
        <v>258</v>
      </c>
      <c r="C19" s="144">
        <v>10</v>
      </c>
      <c r="D19" s="145">
        <v>130000</v>
      </c>
      <c r="E19" s="145">
        <v>25</v>
      </c>
      <c r="F19" s="145">
        <f>0.14</f>
        <v>0.14</v>
      </c>
      <c r="G19" s="145">
        <v>2510</v>
      </c>
      <c r="H19" s="146">
        <v>900000</v>
      </c>
      <c r="I19" s="147"/>
      <c r="J19" s="148"/>
      <c r="K19" s="148"/>
      <c r="L19" s="148"/>
      <c r="M19" s="148"/>
      <c r="N19" s="149"/>
      <c r="O19" s="45"/>
      <c r="Q19" s="750">
        <f>0.14</f>
        <v>0.14</v>
      </c>
      <c r="R19" s="750">
        <v>2510</v>
      </c>
      <c r="S19" s="751">
        <v>0.025</v>
      </c>
      <c r="T19" s="751">
        <v>2.3</v>
      </c>
      <c r="U19" s="752">
        <f t="shared" si="0"/>
        <v>62.75</v>
      </c>
    </row>
    <row r="20" spans="1:21" s="751" customFormat="1" ht="12.75">
      <c r="A20" s="165"/>
      <c r="B20" s="143" t="s">
        <v>259</v>
      </c>
      <c r="C20" s="144">
        <v>14</v>
      </c>
      <c r="D20" s="145">
        <v>150000</v>
      </c>
      <c r="E20" s="145">
        <v>5.8</v>
      </c>
      <c r="F20" s="145">
        <v>0.053</v>
      </c>
      <c r="G20" s="145">
        <v>5010</v>
      </c>
      <c r="H20" s="146">
        <v>1000000</v>
      </c>
      <c r="I20" s="147"/>
      <c r="J20" s="148"/>
      <c r="K20" s="148"/>
      <c r="L20" s="148"/>
      <c r="M20" s="148"/>
      <c r="N20" s="149"/>
      <c r="O20" s="45"/>
      <c r="Q20" s="750">
        <v>0.053</v>
      </c>
      <c r="R20" s="750">
        <v>5010</v>
      </c>
      <c r="S20" s="751">
        <v>0</v>
      </c>
      <c r="T20" s="751">
        <v>6.6</v>
      </c>
      <c r="U20" s="752">
        <f t="shared" si="0"/>
        <v>0</v>
      </c>
    </row>
    <row r="21" spans="1:21" s="751" customFormat="1" ht="12.75">
      <c r="A21" s="165"/>
      <c r="B21" s="143" t="s">
        <v>260</v>
      </c>
      <c r="C21" s="144">
        <v>19</v>
      </c>
      <c r="D21" s="145">
        <v>190000</v>
      </c>
      <c r="E21" s="145">
        <v>0.51</v>
      </c>
      <c r="F21" s="145">
        <f>0.013</f>
        <v>0.013</v>
      </c>
      <c r="G21" s="145">
        <v>15800</v>
      </c>
      <c r="H21" s="146">
        <v>1160000</v>
      </c>
      <c r="I21" s="147"/>
      <c r="J21" s="148"/>
      <c r="K21" s="148"/>
      <c r="L21" s="148"/>
      <c r="M21" s="148"/>
      <c r="N21" s="149"/>
      <c r="O21" s="45"/>
      <c r="Q21" s="750">
        <f>0.013</f>
        <v>0.013</v>
      </c>
      <c r="R21" s="750">
        <v>15800</v>
      </c>
      <c r="S21" s="751">
        <v>0</v>
      </c>
      <c r="T21" s="751">
        <v>18</v>
      </c>
      <c r="U21" s="752">
        <f t="shared" si="0"/>
        <v>0</v>
      </c>
    </row>
    <row r="22" spans="1:21" s="751" customFormat="1" ht="13.5" thickBot="1">
      <c r="A22" s="170"/>
      <c r="B22" s="157" t="s">
        <v>261</v>
      </c>
      <c r="C22" s="158">
        <v>28</v>
      </c>
      <c r="D22" s="159">
        <v>240000</v>
      </c>
      <c r="E22" s="159">
        <v>0.0066</v>
      </c>
      <c r="F22" s="159">
        <v>0.00067</v>
      </c>
      <c r="G22" s="159">
        <v>126000</v>
      </c>
      <c r="H22" s="160">
        <v>1300000</v>
      </c>
      <c r="I22" s="161"/>
      <c r="J22" s="162"/>
      <c r="K22" s="162"/>
      <c r="L22" s="162"/>
      <c r="M22" s="162"/>
      <c r="N22" s="163"/>
      <c r="O22" s="45"/>
      <c r="Q22" s="754">
        <v>0.00067</v>
      </c>
      <c r="R22" s="754">
        <v>126000</v>
      </c>
      <c r="S22" s="751">
        <v>0</v>
      </c>
      <c r="T22" s="751">
        <v>2.2</v>
      </c>
      <c r="U22" s="752">
        <f t="shared" si="0"/>
        <v>0</v>
      </c>
    </row>
    <row r="23" spans="1:21" s="751" customFormat="1" ht="12.75">
      <c r="A23" s="411" t="s">
        <v>262</v>
      </c>
      <c r="B23" s="143" t="s">
        <v>25</v>
      </c>
      <c r="C23" s="144">
        <v>6.5</v>
      </c>
      <c r="D23" s="145">
        <v>78000</v>
      </c>
      <c r="E23" s="145">
        <v>1750</v>
      </c>
      <c r="F23" s="145">
        <v>0.228</v>
      </c>
      <c r="G23" s="145">
        <v>62</v>
      </c>
      <c r="H23" s="146">
        <v>876500</v>
      </c>
      <c r="I23" s="147">
        <v>0.33</v>
      </c>
      <c r="J23" s="148">
        <v>0.21</v>
      </c>
      <c r="K23" s="148">
        <v>0.09</v>
      </c>
      <c r="L23" s="148">
        <v>0.047</v>
      </c>
      <c r="M23" s="148">
        <v>0.22</v>
      </c>
      <c r="N23" s="149">
        <v>1.3</v>
      </c>
      <c r="O23" s="45"/>
      <c r="Q23" s="750">
        <v>0.228</v>
      </c>
      <c r="R23" s="750">
        <v>62</v>
      </c>
      <c r="S23" s="751">
        <v>0.025</v>
      </c>
      <c r="T23" s="751">
        <v>0</v>
      </c>
      <c r="U23" s="752">
        <f t="shared" si="0"/>
        <v>1.55</v>
      </c>
    </row>
    <row r="24" spans="1:21" s="751" customFormat="1" ht="12.75">
      <c r="A24" s="411" t="s">
        <v>263</v>
      </c>
      <c r="B24" s="143" t="s">
        <v>26</v>
      </c>
      <c r="C24" s="144">
        <v>7.6</v>
      </c>
      <c r="D24" s="145">
        <v>92000</v>
      </c>
      <c r="E24" s="145">
        <v>526</v>
      </c>
      <c r="F24" s="145">
        <v>0.272</v>
      </c>
      <c r="G24" s="145">
        <v>140</v>
      </c>
      <c r="H24" s="146">
        <v>866900</v>
      </c>
      <c r="I24" s="147">
        <v>0.32</v>
      </c>
      <c r="J24" s="148">
        <v>0.21</v>
      </c>
      <c r="K24" s="148">
        <v>0.09</v>
      </c>
      <c r="L24" s="148">
        <v>0.046</v>
      </c>
      <c r="M24" s="148">
        <v>0.21</v>
      </c>
      <c r="N24" s="149">
        <v>1.28</v>
      </c>
      <c r="O24" s="45"/>
      <c r="Q24" s="750">
        <v>0.272</v>
      </c>
      <c r="R24" s="750">
        <v>140</v>
      </c>
      <c r="S24" s="751">
        <v>0.12</v>
      </c>
      <c r="T24" s="751">
        <v>0</v>
      </c>
      <c r="U24" s="752">
        <f t="shared" si="0"/>
        <v>16.8</v>
      </c>
    </row>
    <row r="25" spans="1:21" s="751" customFormat="1" ht="12.75">
      <c r="A25" s="411" t="s">
        <v>264</v>
      </c>
      <c r="B25" s="143" t="s">
        <v>27</v>
      </c>
      <c r="C25" s="144">
        <v>8.5</v>
      </c>
      <c r="D25" s="145">
        <v>106000</v>
      </c>
      <c r="E25" s="145">
        <v>169</v>
      </c>
      <c r="F25" s="145">
        <v>0.323</v>
      </c>
      <c r="G25" s="145">
        <v>204</v>
      </c>
      <c r="H25" s="146">
        <v>867000</v>
      </c>
      <c r="I25" s="147">
        <v>0.32</v>
      </c>
      <c r="J25" s="148">
        <v>0.2</v>
      </c>
      <c r="K25" s="148">
        <v>0.09</v>
      </c>
      <c r="L25" s="148">
        <v>0.045</v>
      </c>
      <c r="M25" s="148">
        <v>0.21</v>
      </c>
      <c r="N25" s="149">
        <v>1.27</v>
      </c>
      <c r="O25" s="45"/>
      <c r="Q25" s="750">
        <v>0.323</v>
      </c>
      <c r="R25" s="750">
        <v>204</v>
      </c>
      <c r="S25" s="751">
        <v>0.02</v>
      </c>
      <c r="T25" s="751">
        <v>0</v>
      </c>
      <c r="U25" s="752">
        <f t="shared" si="0"/>
        <v>4.08</v>
      </c>
    </row>
    <row r="26" spans="1:21" s="751" customFormat="1" ht="13.5" thickBot="1">
      <c r="A26" s="412"/>
      <c r="B26" s="157" t="s">
        <v>28</v>
      </c>
      <c r="C26" s="158">
        <v>8.67</v>
      </c>
      <c r="D26" s="159">
        <v>106000</v>
      </c>
      <c r="E26" s="159">
        <v>171</v>
      </c>
      <c r="F26" s="159">
        <v>0.279</v>
      </c>
      <c r="G26" s="159">
        <v>233</v>
      </c>
      <c r="H26" s="160">
        <v>875170</v>
      </c>
      <c r="I26" s="161">
        <v>0.32</v>
      </c>
      <c r="J26" s="162">
        <v>0.2</v>
      </c>
      <c r="K26" s="162">
        <v>0.09</v>
      </c>
      <c r="L26" s="162">
        <v>0.045</v>
      </c>
      <c r="M26" s="162">
        <v>0.21</v>
      </c>
      <c r="N26" s="163">
        <v>1.27</v>
      </c>
      <c r="O26" s="45"/>
      <c r="Q26" s="754">
        <v>0.279</v>
      </c>
      <c r="R26" s="754">
        <v>233</v>
      </c>
      <c r="S26" s="751">
        <v>0.11</v>
      </c>
      <c r="T26" s="751">
        <v>0</v>
      </c>
      <c r="U26" s="752">
        <f t="shared" si="0"/>
        <v>25.63</v>
      </c>
    </row>
    <row r="27" spans="1:21" s="751" customFormat="1" ht="12.75">
      <c r="A27" s="411"/>
      <c r="B27" s="143" t="s">
        <v>138</v>
      </c>
      <c r="C27" s="144"/>
      <c r="D27" s="145"/>
      <c r="E27" s="145"/>
      <c r="F27" s="145">
        <f>AVERAGE(F23:F26)</f>
        <v>0.27549999999999997</v>
      </c>
      <c r="G27" s="145">
        <f>AVERAGE(G23:G26)</f>
        <v>159.75</v>
      </c>
      <c r="H27" s="146">
        <f>AVERAGE(H23:H26)</f>
        <v>871392.5</v>
      </c>
      <c r="I27" s="147">
        <v>0.32</v>
      </c>
      <c r="J27" s="148">
        <v>0.21</v>
      </c>
      <c r="K27" s="148">
        <v>0.06</v>
      </c>
      <c r="L27" s="148">
        <v>0.05</v>
      </c>
      <c r="M27" s="148">
        <v>0.21</v>
      </c>
      <c r="N27" s="149">
        <v>1.28</v>
      </c>
      <c r="O27" s="45"/>
      <c r="Q27" s="755"/>
      <c r="R27" s="755"/>
      <c r="U27" s="752">
        <f t="shared" si="0"/>
        <v>0</v>
      </c>
    </row>
    <row r="28" spans="1:21" s="751" customFormat="1" ht="12.75">
      <c r="A28" s="411"/>
      <c r="B28" s="143" t="s">
        <v>137</v>
      </c>
      <c r="C28" s="144"/>
      <c r="D28" s="145">
        <v>100000</v>
      </c>
      <c r="E28" s="145">
        <v>160</v>
      </c>
      <c r="F28" s="145">
        <f>F27</f>
        <v>0.27549999999999997</v>
      </c>
      <c r="G28" s="145">
        <f>G27</f>
        <v>159.75</v>
      </c>
      <c r="H28" s="146">
        <v>760000</v>
      </c>
      <c r="I28" s="147">
        <v>0.32</v>
      </c>
      <c r="J28" s="148">
        <v>0.21</v>
      </c>
      <c r="K28" s="148">
        <v>0.06</v>
      </c>
      <c r="L28" s="148">
        <v>0.05</v>
      </c>
      <c r="M28" s="148">
        <v>0.21</v>
      </c>
      <c r="N28" s="149">
        <v>1.28</v>
      </c>
      <c r="O28" s="45"/>
      <c r="Q28" s="755"/>
      <c r="R28" s="755"/>
      <c r="U28" s="752">
        <f t="shared" si="0"/>
        <v>0</v>
      </c>
    </row>
    <row r="29" spans="1:21" s="751" customFormat="1" ht="12.75">
      <c r="A29" s="411"/>
      <c r="B29" s="143" t="s">
        <v>265</v>
      </c>
      <c r="C29" s="144"/>
      <c r="D29" s="145">
        <v>200000</v>
      </c>
      <c r="E29" s="145">
        <v>10</v>
      </c>
      <c r="F29" s="145"/>
      <c r="G29" s="145"/>
      <c r="H29" s="146">
        <v>845000</v>
      </c>
      <c r="I29" s="147">
        <v>0.32</v>
      </c>
      <c r="J29" s="148">
        <v>0.21</v>
      </c>
      <c r="K29" s="148">
        <v>0.06</v>
      </c>
      <c r="L29" s="148">
        <v>0.05</v>
      </c>
      <c r="M29" s="148">
        <v>0.21</v>
      </c>
      <c r="N29" s="149">
        <v>1.28</v>
      </c>
      <c r="O29" s="45"/>
      <c r="Q29" s="755"/>
      <c r="R29" s="755"/>
      <c r="U29" s="752">
        <f t="shared" si="0"/>
        <v>0</v>
      </c>
    </row>
    <row r="30" spans="1:21" s="751" customFormat="1" ht="12.75">
      <c r="A30" s="411"/>
      <c r="B30" s="143" t="s">
        <v>266</v>
      </c>
      <c r="C30" s="144">
        <v>11.69</v>
      </c>
      <c r="D30" s="145">
        <v>128000</v>
      </c>
      <c r="E30" s="145">
        <v>31</v>
      </c>
      <c r="F30" s="145">
        <v>0.0198</v>
      </c>
      <c r="G30" s="145">
        <v>1191</v>
      </c>
      <c r="H30" s="146">
        <v>1145000</v>
      </c>
      <c r="I30" s="147"/>
      <c r="J30" s="148"/>
      <c r="K30" s="148"/>
      <c r="L30" s="148"/>
      <c r="M30" s="148"/>
      <c r="N30" s="149"/>
      <c r="O30" s="45"/>
      <c r="Q30" s="755">
        <v>0.0198</v>
      </c>
      <c r="R30" s="755">
        <v>1191</v>
      </c>
      <c r="U30" s="752">
        <f t="shared" si="0"/>
        <v>0</v>
      </c>
    </row>
    <row r="31" spans="1:21" s="751" customFormat="1" ht="12.75">
      <c r="A31" s="411" t="s">
        <v>267</v>
      </c>
      <c r="B31" s="143" t="s">
        <v>268</v>
      </c>
      <c r="C31" s="144">
        <v>6</v>
      </c>
      <c r="D31" s="145">
        <v>86000</v>
      </c>
      <c r="E31" s="145">
        <v>9.5</v>
      </c>
      <c r="F31" s="145">
        <v>74</v>
      </c>
      <c r="G31" s="145">
        <v>3410</v>
      </c>
      <c r="H31" s="146">
        <v>659370</v>
      </c>
      <c r="I31" s="147"/>
      <c r="J31" s="148"/>
      <c r="K31" s="148"/>
      <c r="L31" s="148"/>
      <c r="M31" s="148"/>
      <c r="N31" s="149"/>
      <c r="O31" s="45"/>
      <c r="Q31" s="755">
        <v>74</v>
      </c>
      <c r="R31" s="755">
        <v>3410</v>
      </c>
      <c r="S31" s="751">
        <v>0.03</v>
      </c>
      <c r="U31" s="752">
        <f t="shared" si="0"/>
        <v>102.3</v>
      </c>
    </row>
    <row r="32" spans="1:21" s="751" customFormat="1" ht="12.75" customHeight="1" thickBot="1">
      <c r="A32" s="412" t="s">
        <v>269</v>
      </c>
      <c r="B32" s="157" t="s">
        <v>29</v>
      </c>
      <c r="C32" s="158"/>
      <c r="D32" s="159">
        <v>88000</v>
      </c>
      <c r="E32" s="159">
        <v>50000</v>
      </c>
      <c r="F32" s="159">
        <v>0.018</v>
      </c>
      <c r="G32" s="159">
        <v>10.9</v>
      </c>
      <c r="H32" s="160">
        <v>744000</v>
      </c>
      <c r="I32" s="161"/>
      <c r="J32" s="162"/>
      <c r="K32" s="162"/>
      <c r="L32" s="162"/>
      <c r="M32" s="162"/>
      <c r="N32" s="163"/>
      <c r="O32" s="45"/>
      <c r="Q32" s="756">
        <v>0.018</v>
      </c>
      <c r="R32" s="756">
        <v>10.9</v>
      </c>
      <c r="U32" s="752">
        <f t="shared" si="0"/>
        <v>0</v>
      </c>
    </row>
    <row r="33" spans="1:21" s="751" customFormat="1" ht="12.75">
      <c r="A33" s="413" t="s">
        <v>270</v>
      </c>
      <c r="B33" s="164" t="s">
        <v>271</v>
      </c>
      <c r="C33" s="165"/>
      <c r="D33" s="166">
        <f>187.9*1000</f>
        <v>187900</v>
      </c>
      <c r="E33" s="166">
        <v>3400</v>
      </c>
      <c r="F33" s="166">
        <v>0.0129</v>
      </c>
      <c r="G33" s="166">
        <v>66</v>
      </c>
      <c r="H33" s="167">
        <f>2.17*1000000</f>
        <v>2170000</v>
      </c>
      <c r="I33" s="147"/>
      <c r="J33" s="148"/>
      <c r="K33" s="148"/>
      <c r="L33" s="148"/>
      <c r="M33" s="148"/>
      <c r="N33" s="149"/>
      <c r="O33" s="45"/>
      <c r="Q33" s="757">
        <v>0.0129</v>
      </c>
      <c r="R33" s="757">
        <v>66</v>
      </c>
      <c r="U33" s="752">
        <f t="shared" si="0"/>
        <v>0</v>
      </c>
    </row>
    <row r="34" spans="1:21" s="751" customFormat="1" ht="13.5" thickBot="1">
      <c r="A34" s="414" t="s">
        <v>272</v>
      </c>
      <c r="B34" s="169" t="s">
        <v>273</v>
      </c>
      <c r="C34" s="170"/>
      <c r="D34" s="171">
        <f>99*1000</f>
        <v>99000</v>
      </c>
      <c r="E34" s="171">
        <v>8520</v>
      </c>
      <c r="F34" s="171">
        <v>0.0401</v>
      </c>
      <c r="G34" s="171">
        <v>38</v>
      </c>
      <c r="H34" s="172">
        <f>1.253*1000000</f>
        <v>1253000</v>
      </c>
      <c r="I34" s="161"/>
      <c r="J34" s="162"/>
      <c r="K34" s="162"/>
      <c r="L34" s="162"/>
      <c r="M34" s="162"/>
      <c r="N34" s="163"/>
      <c r="O34" s="45"/>
      <c r="Q34" s="758">
        <v>0.0401</v>
      </c>
      <c r="R34" s="758">
        <v>38</v>
      </c>
      <c r="U34" s="752">
        <f t="shared" si="0"/>
        <v>0</v>
      </c>
    </row>
    <row r="35" spans="1:21" s="751" customFormat="1" ht="21" customHeight="1">
      <c r="A35" s="173"/>
      <c r="B35" s="174"/>
      <c r="C35" s="142"/>
      <c r="D35" s="168"/>
      <c r="E35" s="168"/>
      <c r="F35" s="168"/>
      <c r="G35" s="168"/>
      <c r="H35" s="168"/>
      <c r="I35" s="45"/>
      <c r="J35" s="45"/>
      <c r="K35" s="45"/>
      <c r="L35" s="45"/>
      <c r="M35" s="45"/>
      <c r="N35" s="45"/>
      <c r="O35" s="45"/>
      <c r="S35" s="751">
        <f>SUM(S11:S34)</f>
        <v>1</v>
      </c>
      <c r="T35" s="751">
        <f>SUM(T13:T34)</f>
        <v>99.6</v>
      </c>
      <c r="U35" s="752">
        <f>SUM(U14:U34)</f>
        <v>7438.51</v>
      </c>
    </row>
    <row r="36" spans="1:8" s="751" customFormat="1" ht="12.75">
      <c r="A36" s="759"/>
      <c r="B36" s="760"/>
      <c r="C36" s="759"/>
      <c r="D36" s="759"/>
      <c r="E36" s="759"/>
      <c r="F36" s="759"/>
      <c r="G36" s="759"/>
      <c r="H36" s="759"/>
    </row>
    <row r="37" spans="1:8" s="751" customFormat="1" ht="12.75">
      <c r="A37" s="759"/>
      <c r="B37" s="760"/>
      <c r="C37" s="759"/>
      <c r="D37" s="759"/>
      <c r="E37" s="759"/>
      <c r="F37" s="759"/>
      <c r="G37" s="759"/>
      <c r="H37" s="759"/>
    </row>
    <row r="38" spans="1:8" s="751" customFormat="1" ht="12.75">
      <c r="A38" s="759"/>
      <c r="B38" s="760"/>
      <c r="C38" s="759"/>
      <c r="D38" s="759"/>
      <c r="E38" s="759"/>
      <c r="F38" s="759"/>
      <c r="G38" s="759"/>
      <c r="H38" s="759"/>
    </row>
    <row r="39" spans="1:8" s="751" customFormat="1" ht="12.75">
      <c r="A39" s="759"/>
      <c r="B39" s="760"/>
      <c r="C39" s="759"/>
      <c r="D39" s="759"/>
      <c r="E39" s="759"/>
      <c r="F39" s="759"/>
      <c r="G39" s="759"/>
      <c r="H39" s="759"/>
    </row>
    <row r="40" spans="1:8" s="751" customFormat="1" ht="12.75">
      <c r="A40" s="759"/>
      <c r="B40" s="760"/>
      <c r="C40" s="759"/>
      <c r="D40" s="759"/>
      <c r="E40" s="759"/>
      <c r="F40" s="759"/>
      <c r="G40" s="759"/>
      <c r="H40" s="759"/>
    </row>
    <row r="41" spans="1:8" s="751" customFormat="1" ht="12.75">
      <c r="A41" s="759"/>
      <c r="B41" s="760"/>
      <c r="C41" s="759"/>
      <c r="D41" s="759"/>
      <c r="E41" s="759"/>
      <c r="F41" s="759"/>
      <c r="G41" s="759"/>
      <c r="H41" s="759"/>
    </row>
    <row r="42" spans="1:8" s="751" customFormat="1" ht="12.75">
      <c r="A42" s="759"/>
      <c r="B42" s="760"/>
      <c r="C42" s="759"/>
      <c r="D42" s="759"/>
      <c r="E42" s="759"/>
      <c r="F42" s="759"/>
      <c r="G42" s="759"/>
      <c r="H42" s="759"/>
    </row>
    <row r="43" spans="1:8" s="751" customFormat="1" ht="12.75">
      <c r="A43" s="759"/>
      <c r="B43" s="760"/>
      <c r="C43" s="759"/>
      <c r="D43" s="759"/>
      <c r="E43" s="759"/>
      <c r="F43" s="759"/>
      <c r="G43" s="759"/>
      <c r="H43" s="759"/>
    </row>
    <row r="44" spans="1:8" s="751" customFormat="1" ht="12.75">
      <c r="A44" s="759"/>
      <c r="B44" s="760"/>
      <c r="C44" s="759"/>
      <c r="D44" s="759"/>
      <c r="E44" s="759"/>
      <c r="F44" s="759"/>
      <c r="G44" s="759"/>
      <c r="H44" s="759"/>
    </row>
    <row r="45" spans="1:8" s="751" customFormat="1" ht="12.75">
      <c r="A45" s="759"/>
      <c r="B45" s="760"/>
      <c r="C45" s="759"/>
      <c r="D45" s="759"/>
      <c r="E45" s="759"/>
      <c r="F45" s="759"/>
      <c r="G45" s="759"/>
      <c r="H45" s="759"/>
    </row>
    <row r="46" spans="1:8" s="751" customFormat="1" ht="12.75">
      <c r="A46" s="759"/>
      <c r="B46" s="760"/>
      <c r="C46" s="759"/>
      <c r="D46" s="759"/>
      <c r="E46" s="759"/>
      <c r="F46" s="759"/>
      <c r="G46" s="759"/>
      <c r="H46" s="759"/>
    </row>
    <row r="47" spans="1:8" s="751" customFormat="1" ht="12.75">
      <c r="A47" s="759"/>
      <c r="B47" s="760"/>
      <c r="C47" s="759"/>
      <c r="D47" s="759"/>
      <c r="E47" s="759"/>
      <c r="F47" s="759"/>
      <c r="G47" s="759"/>
      <c r="H47" s="759"/>
    </row>
    <row r="48" spans="1:8" s="751" customFormat="1" ht="12.75">
      <c r="A48" s="759"/>
      <c r="B48" s="760"/>
      <c r="C48" s="759"/>
      <c r="D48" s="759"/>
      <c r="E48" s="759"/>
      <c r="F48" s="759"/>
      <c r="G48" s="759"/>
      <c r="H48" s="759"/>
    </row>
    <row r="49" spans="1:8" s="751" customFormat="1" ht="12.75">
      <c r="A49" s="759"/>
      <c r="B49" s="760"/>
      <c r="C49" s="759"/>
      <c r="D49" s="759"/>
      <c r="E49" s="759"/>
      <c r="F49" s="759"/>
      <c r="G49" s="759"/>
      <c r="H49" s="759"/>
    </row>
    <row r="50" spans="1:8" s="751" customFormat="1" ht="12.75">
      <c r="A50" s="759"/>
      <c r="B50" s="760"/>
      <c r="C50" s="759"/>
      <c r="D50" s="759"/>
      <c r="E50" s="759"/>
      <c r="F50" s="759"/>
      <c r="G50" s="759"/>
      <c r="H50" s="759"/>
    </row>
    <row r="51" spans="1:8" s="751" customFormat="1" ht="12.75">
      <c r="A51" s="759"/>
      <c r="B51" s="760"/>
      <c r="C51" s="759"/>
      <c r="D51" s="759"/>
      <c r="E51" s="759"/>
      <c r="F51" s="759"/>
      <c r="G51" s="759"/>
      <c r="H51" s="759"/>
    </row>
    <row r="52" spans="1:8" s="751" customFormat="1" ht="12.75">
      <c r="A52" s="759"/>
      <c r="B52" s="760"/>
      <c r="C52" s="759"/>
      <c r="D52" s="759"/>
      <c r="E52" s="759"/>
      <c r="F52" s="759"/>
      <c r="G52" s="759"/>
      <c r="H52" s="759"/>
    </row>
    <row r="53" spans="1:8" s="751" customFormat="1" ht="12.75">
      <c r="A53" s="759"/>
      <c r="B53" s="760"/>
      <c r="C53" s="759"/>
      <c r="D53" s="759"/>
      <c r="E53" s="759"/>
      <c r="F53" s="759"/>
      <c r="G53" s="759"/>
      <c r="H53" s="759"/>
    </row>
    <row r="54" spans="1:8" s="751" customFormat="1" ht="12.75">
      <c r="A54" s="759"/>
      <c r="B54" s="760"/>
      <c r="C54" s="759"/>
      <c r="D54" s="759"/>
      <c r="E54" s="759"/>
      <c r="F54" s="759"/>
      <c r="G54" s="759"/>
      <c r="H54" s="759"/>
    </row>
    <row r="55" spans="1:8" s="751" customFormat="1" ht="12.75">
      <c r="A55" s="759"/>
      <c r="B55" s="760"/>
      <c r="C55" s="759"/>
      <c r="D55" s="759"/>
      <c r="E55" s="759"/>
      <c r="F55" s="759"/>
      <c r="G55" s="759"/>
      <c r="H55" s="759"/>
    </row>
    <row r="56" spans="1:8" s="751" customFormat="1" ht="12.75">
      <c r="A56" s="759"/>
      <c r="B56" s="760"/>
      <c r="C56" s="759"/>
      <c r="D56" s="759"/>
      <c r="E56" s="759"/>
      <c r="F56" s="759"/>
      <c r="G56" s="759"/>
      <c r="H56" s="759"/>
    </row>
    <row r="57" spans="1:8" s="751" customFormat="1" ht="12.75">
      <c r="A57" s="759"/>
      <c r="B57" s="760"/>
      <c r="C57" s="759"/>
      <c r="D57" s="759"/>
      <c r="E57" s="759"/>
      <c r="F57" s="759"/>
      <c r="G57" s="759"/>
      <c r="H57" s="759"/>
    </row>
    <row r="58" spans="1:8" s="751" customFormat="1" ht="12.75">
      <c r="A58" s="759"/>
      <c r="B58" s="760"/>
      <c r="C58" s="759"/>
      <c r="D58" s="759"/>
      <c r="E58" s="759"/>
      <c r="F58" s="759"/>
      <c r="G58" s="759"/>
      <c r="H58" s="759"/>
    </row>
    <row r="59" spans="1:8" s="751" customFormat="1" ht="12.75">
      <c r="A59" s="759"/>
      <c r="B59" s="760"/>
      <c r="C59" s="759"/>
      <c r="D59" s="759"/>
      <c r="E59" s="759"/>
      <c r="F59" s="759"/>
      <c r="G59" s="759"/>
      <c r="H59" s="759"/>
    </row>
    <row r="60" spans="1:8" s="751" customFormat="1" ht="12.75">
      <c r="A60" s="759"/>
      <c r="B60" s="760"/>
      <c r="C60" s="759"/>
      <c r="D60" s="759"/>
      <c r="E60" s="759"/>
      <c r="F60" s="759"/>
      <c r="G60" s="759"/>
      <c r="H60" s="759"/>
    </row>
    <row r="61" spans="1:8" s="751" customFormat="1" ht="12.75">
      <c r="A61" s="759"/>
      <c r="B61" s="760"/>
      <c r="C61" s="759"/>
      <c r="D61" s="759"/>
      <c r="E61" s="759"/>
      <c r="F61" s="759"/>
      <c r="G61" s="759"/>
      <c r="H61" s="759"/>
    </row>
    <row r="62" spans="1:8" s="751" customFormat="1" ht="12.75">
      <c r="A62" s="759"/>
      <c r="B62" s="760"/>
      <c r="C62" s="759"/>
      <c r="D62" s="759"/>
      <c r="E62" s="759"/>
      <c r="F62" s="759"/>
      <c r="G62" s="759"/>
      <c r="H62" s="759"/>
    </row>
    <row r="63" spans="1:8" s="751" customFormat="1" ht="12.75">
      <c r="A63" s="759"/>
      <c r="B63" s="760"/>
      <c r="C63" s="759"/>
      <c r="D63" s="759"/>
      <c r="E63" s="759"/>
      <c r="F63" s="759"/>
      <c r="G63" s="759"/>
      <c r="H63" s="759"/>
    </row>
    <row r="64" spans="1:8" s="751" customFormat="1" ht="12.75">
      <c r="A64" s="759"/>
      <c r="B64" s="760"/>
      <c r="C64" s="759"/>
      <c r="D64" s="759"/>
      <c r="E64" s="759"/>
      <c r="F64" s="759"/>
      <c r="G64" s="759"/>
      <c r="H64" s="759"/>
    </row>
    <row r="65" spans="1:8" s="751" customFormat="1" ht="12.75">
      <c r="A65" s="759"/>
      <c r="B65" s="760"/>
      <c r="C65" s="759"/>
      <c r="D65" s="759"/>
      <c r="E65" s="759"/>
      <c r="F65" s="759"/>
      <c r="G65" s="759"/>
      <c r="H65" s="759"/>
    </row>
    <row r="66" spans="1:8" s="751" customFormat="1" ht="12.75">
      <c r="A66" s="759"/>
      <c r="B66" s="760"/>
      <c r="C66" s="759"/>
      <c r="D66" s="759"/>
      <c r="E66" s="759"/>
      <c r="F66" s="759"/>
      <c r="G66" s="759"/>
      <c r="H66" s="759"/>
    </row>
    <row r="67" spans="1:8" s="751" customFormat="1" ht="12.75">
      <c r="A67" s="759"/>
      <c r="B67" s="760"/>
      <c r="C67" s="759"/>
      <c r="D67" s="759"/>
      <c r="E67" s="759"/>
      <c r="F67" s="759"/>
      <c r="G67" s="759"/>
      <c r="H67" s="759"/>
    </row>
    <row r="68" spans="1:8" s="751" customFormat="1" ht="12.75">
      <c r="A68" s="759"/>
      <c r="B68" s="760"/>
      <c r="C68" s="759"/>
      <c r="D68" s="759"/>
      <c r="E68" s="759"/>
      <c r="F68" s="759"/>
      <c r="G68" s="759"/>
      <c r="H68" s="759"/>
    </row>
    <row r="69" spans="1:8" s="751" customFormat="1" ht="12.75">
      <c r="A69" s="759"/>
      <c r="B69" s="760"/>
      <c r="C69" s="759"/>
      <c r="D69" s="759"/>
      <c r="E69" s="759"/>
      <c r="F69" s="759"/>
      <c r="G69" s="759"/>
      <c r="H69" s="759"/>
    </row>
    <row r="70" spans="1:8" s="751" customFormat="1" ht="12.75">
      <c r="A70" s="759"/>
      <c r="B70" s="760"/>
      <c r="C70" s="759"/>
      <c r="D70" s="759"/>
      <c r="E70" s="759"/>
      <c r="F70" s="759"/>
      <c r="G70" s="759"/>
      <c r="H70" s="759"/>
    </row>
    <row r="71" spans="1:8" s="751" customFormat="1" ht="12.75">
      <c r="A71" s="759"/>
      <c r="B71" s="760"/>
      <c r="C71" s="759"/>
      <c r="D71" s="759"/>
      <c r="E71" s="759"/>
      <c r="F71" s="759"/>
      <c r="G71" s="759"/>
      <c r="H71" s="759"/>
    </row>
    <row r="72" spans="1:8" s="751" customFormat="1" ht="12.75">
      <c r="A72" s="759"/>
      <c r="B72" s="760"/>
      <c r="C72" s="759"/>
      <c r="D72" s="759"/>
      <c r="E72" s="759"/>
      <c r="F72" s="759"/>
      <c r="G72" s="759"/>
      <c r="H72" s="759"/>
    </row>
    <row r="73" spans="1:8" s="751" customFormat="1" ht="12.75">
      <c r="A73" s="759"/>
      <c r="B73" s="760"/>
      <c r="C73" s="759"/>
      <c r="D73" s="759"/>
      <c r="E73" s="759"/>
      <c r="F73" s="759"/>
      <c r="G73" s="759"/>
      <c r="H73" s="759"/>
    </row>
    <row r="74" spans="1:8" s="751" customFormat="1" ht="12.75">
      <c r="A74" s="759"/>
      <c r="B74" s="760"/>
      <c r="C74" s="759"/>
      <c r="D74" s="759"/>
      <c r="E74" s="759"/>
      <c r="F74" s="759"/>
      <c r="G74" s="759"/>
      <c r="H74" s="759"/>
    </row>
    <row r="75" spans="1:8" s="751" customFormat="1" ht="12.75">
      <c r="A75" s="759"/>
      <c r="B75" s="760"/>
      <c r="C75" s="759"/>
      <c r="D75" s="759"/>
      <c r="E75" s="759"/>
      <c r="F75" s="759"/>
      <c r="G75" s="759"/>
      <c r="H75" s="759"/>
    </row>
    <row r="76" spans="1:8" s="751" customFormat="1" ht="12.75">
      <c r="A76" s="759"/>
      <c r="B76" s="760"/>
      <c r="C76" s="759"/>
      <c r="D76" s="759"/>
      <c r="E76" s="759"/>
      <c r="F76" s="759"/>
      <c r="G76" s="759"/>
      <c r="H76" s="759"/>
    </row>
    <row r="77" spans="1:8" s="751" customFormat="1" ht="12.75">
      <c r="A77" s="759"/>
      <c r="B77" s="760"/>
      <c r="C77" s="759"/>
      <c r="D77" s="759"/>
      <c r="E77" s="759"/>
      <c r="F77" s="759"/>
      <c r="G77" s="759"/>
      <c r="H77" s="759"/>
    </row>
    <row r="78" spans="1:8" s="751" customFormat="1" ht="12.75">
      <c r="A78" s="759"/>
      <c r="B78" s="760"/>
      <c r="C78" s="759"/>
      <c r="D78" s="759"/>
      <c r="E78" s="759"/>
      <c r="F78" s="759"/>
      <c r="G78" s="759"/>
      <c r="H78" s="759"/>
    </row>
    <row r="79" spans="1:8" s="751" customFormat="1" ht="12.75">
      <c r="A79" s="759"/>
      <c r="B79" s="760"/>
      <c r="C79" s="759"/>
      <c r="D79" s="759"/>
      <c r="E79" s="759"/>
      <c r="F79" s="759"/>
      <c r="G79" s="759"/>
      <c r="H79" s="759"/>
    </row>
    <row r="80" spans="1:8" s="751" customFormat="1" ht="12.75">
      <c r="A80" s="759"/>
      <c r="B80" s="760"/>
      <c r="C80" s="759"/>
      <c r="D80" s="759"/>
      <c r="E80" s="759"/>
      <c r="F80" s="759"/>
      <c r="G80" s="759"/>
      <c r="H80" s="759"/>
    </row>
    <row r="81" spans="1:8" s="751" customFormat="1" ht="12.75">
      <c r="A81" s="759"/>
      <c r="B81" s="760"/>
      <c r="C81" s="759"/>
      <c r="D81" s="759"/>
      <c r="E81" s="759"/>
      <c r="F81" s="759"/>
      <c r="G81" s="759"/>
      <c r="H81" s="759"/>
    </row>
    <row r="82" spans="1:8" s="751" customFormat="1" ht="12.75">
      <c r="A82" s="759"/>
      <c r="B82" s="760"/>
      <c r="C82" s="759"/>
      <c r="D82" s="759"/>
      <c r="E82" s="759"/>
      <c r="F82" s="759"/>
      <c r="G82" s="759"/>
      <c r="H82" s="759"/>
    </row>
    <row r="83" spans="1:8" s="751" customFormat="1" ht="12.75">
      <c r="A83" s="759"/>
      <c r="B83" s="760"/>
      <c r="C83" s="759"/>
      <c r="D83" s="759"/>
      <c r="E83" s="759"/>
      <c r="F83" s="759"/>
      <c r="G83" s="759"/>
      <c r="H83" s="759"/>
    </row>
    <row r="84" spans="1:8" s="751" customFormat="1" ht="12.75">
      <c r="A84" s="759"/>
      <c r="B84" s="760"/>
      <c r="C84" s="759"/>
      <c r="D84" s="759"/>
      <c r="E84" s="759"/>
      <c r="F84" s="759"/>
      <c r="G84" s="759"/>
      <c r="H84" s="759"/>
    </row>
    <row r="85" spans="1:8" s="751" customFormat="1" ht="12.75">
      <c r="A85" s="759"/>
      <c r="B85" s="760"/>
      <c r="C85" s="759"/>
      <c r="D85" s="759"/>
      <c r="E85" s="759"/>
      <c r="F85" s="759"/>
      <c r="G85" s="759"/>
      <c r="H85" s="759"/>
    </row>
    <row r="86" spans="1:8" s="751" customFormat="1" ht="12.75">
      <c r="A86" s="759"/>
      <c r="B86" s="760"/>
      <c r="C86" s="759"/>
      <c r="D86" s="759"/>
      <c r="E86" s="759"/>
      <c r="F86" s="759"/>
      <c r="G86" s="759"/>
      <c r="H86" s="759"/>
    </row>
    <row r="87" spans="1:8" s="751" customFormat="1" ht="12.75">
      <c r="A87" s="759"/>
      <c r="B87" s="760"/>
      <c r="C87" s="759"/>
      <c r="D87" s="759"/>
      <c r="E87" s="759"/>
      <c r="F87" s="759"/>
      <c r="G87" s="759"/>
      <c r="H87" s="759"/>
    </row>
    <row r="88" spans="1:8" s="751" customFormat="1" ht="12.75">
      <c r="A88" s="759"/>
      <c r="B88" s="760"/>
      <c r="C88" s="759"/>
      <c r="D88" s="759"/>
      <c r="E88" s="759"/>
      <c r="F88" s="759"/>
      <c r="G88" s="759"/>
      <c r="H88" s="759"/>
    </row>
    <row r="89" spans="1:8" s="751" customFormat="1" ht="12.75">
      <c r="A89" s="759"/>
      <c r="B89" s="760"/>
      <c r="C89" s="759"/>
      <c r="D89" s="759"/>
      <c r="E89" s="759"/>
      <c r="F89" s="759"/>
      <c r="G89" s="759"/>
      <c r="H89" s="759"/>
    </row>
    <row r="90" spans="1:8" s="751" customFormat="1" ht="12.75">
      <c r="A90" s="759"/>
      <c r="B90" s="760"/>
      <c r="C90" s="759"/>
      <c r="D90" s="759"/>
      <c r="E90" s="759"/>
      <c r="F90" s="759"/>
      <c r="G90" s="759"/>
      <c r="H90" s="759"/>
    </row>
    <row r="91" spans="1:8" s="751" customFormat="1" ht="12.75">
      <c r="A91" s="759"/>
      <c r="B91" s="760"/>
      <c r="C91" s="759"/>
      <c r="D91" s="759"/>
      <c r="E91" s="759"/>
      <c r="F91" s="759"/>
      <c r="G91" s="759"/>
      <c r="H91" s="759"/>
    </row>
    <row r="92" spans="1:8" s="751" customFormat="1" ht="12.75">
      <c r="A92" s="759"/>
      <c r="B92" s="760"/>
      <c r="C92" s="759"/>
      <c r="D92" s="759"/>
      <c r="E92" s="759"/>
      <c r="F92" s="759"/>
      <c r="G92" s="759"/>
      <c r="H92" s="759"/>
    </row>
    <row r="93" spans="1:8" s="751" customFormat="1" ht="12.75">
      <c r="A93" s="759"/>
      <c r="B93" s="760"/>
      <c r="C93" s="759"/>
      <c r="D93" s="759"/>
      <c r="E93" s="759"/>
      <c r="F93" s="759"/>
      <c r="G93" s="759"/>
      <c r="H93" s="759"/>
    </row>
    <row r="94" spans="1:8" s="751" customFormat="1" ht="12.75">
      <c r="A94" s="759"/>
      <c r="B94" s="760"/>
      <c r="C94" s="759"/>
      <c r="D94" s="759"/>
      <c r="E94" s="759"/>
      <c r="F94" s="759"/>
      <c r="G94" s="759"/>
      <c r="H94" s="759"/>
    </row>
    <row r="95" spans="1:8" s="751" customFormat="1" ht="12.75">
      <c r="A95" s="759"/>
      <c r="B95" s="760"/>
      <c r="C95" s="759"/>
      <c r="D95" s="759"/>
      <c r="E95" s="759"/>
      <c r="F95" s="759"/>
      <c r="G95" s="759"/>
      <c r="H95" s="759"/>
    </row>
    <row r="96" spans="1:8" s="751" customFormat="1" ht="12.75">
      <c r="A96" s="759"/>
      <c r="B96" s="760"/>
      <c r="C96" s="759"/>
      <c r="D96" s="759"/>
      <c r="E96" s="759"/>
      <c r="F96" s="759"/>
      <c r="G96" s="759"/>
      <c r="H96" s="759"/>
    </row>
    <row r="97" spans="1:8" s="751" customFormat="1" ht="12.75">
      <c r="A97" s="759"/>
      <c r="B97" s="760"/>
      <c r="C97" s="759"/>
      <c r="D97" s="759"/>
      <c r="E97" s="759"/>
      <c r="F97" s="759"/>
      <c r="G97" s="759"/>
      <c r="H97" s="759"/>
    </row>
    <row r="98" spans="1:8" s="751" customFormat="1" ht="12.75">
      <c r="A98" s="759"/>
      <c r="B98" s="760"/>
      <c r="C98" s="759"/>
      <c r="D98" s="759"/>
      <c r="E98" s="759"/>
      <c r="F98" s="759"/>
      <c r="G98" s="759"/>
      <c r="H98" s="759"/>
    </row>
    <row r="99" spans="1:8" s="751" customFormat="1" ht="12.75">
      <c r="A99" s="759"/>
      <c r="B99" s="760"/>
      <c r="C99" s="759"/>
      <c r="D99" s="759"/>
      <c r="E99" s="759"/>
      <c r="F99" s="759"/>
      <c r="G99" s="759"/>
      <c r="H99" s="759"/>
    </row>
    <row r="100" spans="1:8" s="751" customFormat="1" ht="12.75">
      <c r="A100" s="759"/>
      <c r="B100" s="760"/>
      <c r="C100" s="759"/>
      <c r="D100" s="759"/>
      <c r="E100" s="759"/>
      <c r="F100" s="759"/>
      <c r="G100" s="759"/>
      <c r="H100" s="759"/>
    </row>
    <row r="101" spans="1:8" s="751" customFormat="1" ht="12.75">
      <c r="A101" s="759"/>
      <c r="B101" s="760"/>
      <c r="C101" s="759"/>
      <c r="D101" s="759"/>
      <c r="E101" s="759"/>
      <c r="F101" s="759"/>
      <c r="G101" s="759"/>
      <c r="H101" s="759"/>
    </row>
    <row r="102" spans="1:8" s="751" customFormat="1" ht="12.75">
      <c r="A102" s="759"/>
      <c r="B102" s="760"/>
      <c r="C102" s="759"/>
      <c r="D102" s="759"/>
      <c r="E102" s="759"/>
      <c r="F102" s="759"/>
      <c r="G102" s="759"/>
      <c r="H102" s="759"/>
    </row>
    <row r="103" spans="1:8" s="751" customFormat="1" ht="12.75">
      <c r="A103" s="759"/>
      <c r="B103" s="760"/>
      <c r="C103" s="759"/>
      <c r="D103" s="759"/>
      <c r="E103" s="759"/>
      <c r="F103" s="759"/>
      <c r="G103" s="759"/>
      <c r="H103" s="759"/>
    </row>
    <row r="104" spans="1:8" s="751" customFormat="1" ht="12.75">
      <c r="A104" s="759"/>
      <c r="B104" s="760"/>
      <c r="C104" s="759"/>
      <c r="D104" s="759"/>
      <c r="E104" s="759"/>
      <c r="F104" s="759"/>
      <c r="G104" s="759"/>
      <c r="H104" s="759"/>
    </row>
    <row r="105" spans="1:8" s="751" customFormat="1" ht="12.75">
      <c r="A105" s="759"/>
      <c r="B105" s="760"/>
      <c r="C105" s="759"/>
      <c r="D105" s="759"/>
      <c r="E105" s="759"/>
      <c r="F105" s="759"/>
      <c r="G105" s="759"/>
      <c r="H105" s="759"/>
    </row>
    <row r="106" spans="1:8" s="751" customFormat="1" ht="12.75">
      <c r="A106" s="759"/>
      <c r="B106" s="760"/>
      <c r="C106" s="759"/>
      <c r="D106" s="759"/>
      <c r="E106" s="759"/>
      <c r="F106" s="759"/>
      <c r="G106" s="759"/>
      <c r="H106" s="759"/>
    </row>
    <row r="107" spans="1:8" s="751" customFormat="1" ht="12.75">
      <c r="A107" s="759"/>
      <c r="B107" s="760"/>
      <c r="C107" s="759"/>
      <c r="D107" s="759"/>
      <c r="E107" s="759"/>
      <c r="F107" s="759"/>
      <c r="G107" s="759"/>
      <c r="H107" s="759"/>
    </row>
    <row r="108" spans="1:8" s="751" customFormat="1" ht="12.75">
      <c r="A108" s="759"/>
      <c r="B108" s="760"/>
      <c r="C108" s="759"/>
      <c r="D108" s="759"/>
      <c r="E108" s="759"/>
      <c r="F108" s="759"/>
      <c r="G108" s="759"/>
      <c r="H108" s="759"/>
    </row>
    <row r="109" spans="1:8" s="751" customFormat="1" ht="12.75">
      <c r="A109" s="759"/>
      <c r="B109" s="760"/>
      <c r="C109" s="759"/>
      <c r="D109" s="759"/>
      <c r="E109" s="759"/>
      <c r="F109" s="759"/>
      <c r="G109" s="759"/>
      <c r="H109" s="759"/>
    </row>
    <row r="110" spans="1:8" s="751" customFormat="1" ht="12.75">
      <c r="A110" s="759"/>
      <c r="B110" s="760"/>
      <c r="C110" s="759"/>
      <c r="D110" s="759"/>
      <c r="E110" s="759"/>
      <c r="F110" s="759"/>
      <c r="G110" s="759"/>
      <c r="H110" s="759"/>
    </row>
    <row r="111" spans="1:8" s="751" customFormat="1" ht="12.75">
      <c r="A111" s="759"/>
      <c r="B111" s="760"/>
      <c r="C111" s="759"/>
      <c r="D111" s="759"/>
      <c r="E111" s="759"/>
      <c r="F111" s="759"/>
      <c r="G111" s="759"/>
      <c r="H111" s="759"/>
    </row>
    <row r="112" spans="1:8" s="751" customFormat="1" ht="12.75">
      <c r="A112" s="759"/>
      <c r="B112" s="760"/>
      <c r="C112" s="759"/>
      <c r="D112" s="759"/>
      <c r="E112" s="759"/>
      <c r="F112" s="759"/>
      <c r="G112" s="759"/>
      <c r="H112" s="759"/>
    </row>
    <row r="113" spans="1:8" s="751" customFormat="1" ht="12.75">
      <c r="A113" s="759"/>
      <c r="B113" s="760"/>
      <c r="C113" s="759"/>
      <c r="D113" s="759"/>
      <c r="E113" s="759"/>
      <c r="F113" s="759"/>
      <c r="G113" s="759"/>
      <c r="H113" s="759"/>
    </row>
    <row r="114" spans="1:8" s="751" customFormat="1" ht="12.75">
      <c r="A114" s="759"/>
      <c r="B114" s="760"/>
      <c r="C114" s="759"/>
      <c r="D114" s="759"/>
      <c r="E114" s="759"/>
      <c r="F114" s="759"/>
      <c r="G114" s="759"/>
      <c r="H114" s="759"/>
    </row>
    <row r="115" spans="1:8" s="751" customFormat="1" ht="12.75">
      <c r="A115" s="759"/>
      <c r="B115" s="760"/>
      <c r="C115" s="759"/>
      <c r="D115" s="759"/>
      <c r="E115" s="759"/>
      <c r="F115" s="759"/>
      <c r="G115" s="759"/>
      <c r="H115" s="759"/>
    </row>
    <row r="116" spans="1:8" s="751" customFormat="1" ht="12.75">
      <c r="A116" s="759"/>
      <c r="B116" s="760"/>
      <c r="C116" s="759"/>
      <c r="D116" s="759"/>
      <c r="E116" s="759"/>
      <c r="F116" s="759"/>
      <c r="G116" s="759"/>
      <c r="H116" s="759"/>
    </row>
    <row r="117" spans="1:8" s="751" customFormat="1" ht="12.75">
      <c r="A117" s="759"/>
      <c r="B117" s="760"/>
      <c r="C117" s="759"/>
      <c r="D117" s="759"/>
      <c r="E117" s="759"/>
      <c r="F117" s="759"/>
      <c r="G117" s="759"/>
      <c r="H117" s="759"/>
    </row>
    <row r="118" spans="1:8" s="751" customFormat="1" ht="12.75">
      <c r="A118" s="759"/>
      <c r="B118" s="760"/>
      <c r="C118" s="759"/>
      <c r="D118" s="759"/>
      <c r="E118" s="759"/>
      <c r="F118" s="759"/>
      <c r="G118" s="759"/>
      <c r="H118" s="759"/>
    </row>
    <row r="119" spans="1:8" s="751" customFormat="1" ht="12.75">
      <c r="A119" s="759"/>
      <c r="B119" s="760"/>
      <c r="C119" s="759"/>
      <c r="D119" s="759"/>
      <c r="E119" s="759"/>
      <c r="F119" s="759"/>
      <c r="G119" s="759"/>
      <c r="H119" s="759"/>
    </row>
    <row r="120" spans="1:8" s="751" customFormat="1" ht="12.75">
      <c r="A120" s="759"/>
      <c r="B120" s="760"/>
      <c r="C120" s="759"/>
      <c r="D120" s="759"/>
      <c r="E120" s="759"/>
      <c r="F120" s="759"/>
      <c r="G120" s="759"/>
      <c r="H120" s="759"/>
    </row>
    <row r="121" spans="1:8" s="751" customFormat="1" ht="12.75">
      <c r="A121" s="759"/>
      <c r="B121" s="760"/>
      <c r="C121" s="759"/>
      <c r="D121" s="759"/>
      <c r="E121" s="759"/>
      <c r="F121" s="759"/>
      <c r="G121" s="759"/>
      <c r="H121" s="759"/>
    </row>
    <row r="122" spans="1:8" s="751" customFormat="1" ht="12.75">
      <c r="A122" s="759"/>
      <c r="B122" s="760"/>
      <c r="C122" s="759"/>
      <c r="D122" s="759"/>
      <c r="E122" s="759"/>
      <c r="F122" s="759"/>
      <c r="G122" s="759"/>
      <c r="H122" s="759"/>
    </row>
    <row r="123" spans="1:8" s="751" customFormat="1" ht="12.75">
      <c r="A123" s="759"/>
      <c r="B123" s="760"/>
      <c r="C123" s="759"/>
      <c r="D123" s="759"/>
      <c r="E123" s="759"/>
      <c r="F123" s="759"/>
      <c r="G123" s="759"/>
      <c r="H123" s="759"/>
    </row>
    <row r="124" spans="1:8" s="751" customFormat="1" ht="12.75">
      <c r="A124" s="759"/>
      <c r="B124" s="760"/>
      <c r="C124" s="759"/>
      <c r="D124" s="759"/>
      <c r="E124" s="759"/>
      <c r="F124" s="759"/>
      <c r="G124" s="759"/>
      <c r="H124" s="759"/>
    </row>
    <row r="125" spans="1:8" s="751" customFormat="1" ht="12.75">
      <c r="A125" s="759"/>
      <c r="B125" s="760"/>
      <c r="C125" s="759"/>
      <c r="D125" s="759"/>
      <c r="E125" s="759"/>
      <c r="F125" s="759"/>
      <c r="G125" s="759"/>
      <c r="H125" s="759"/>
    </row>
    <row r="126" spans="1:8" s="751" customFormat="1" ht="12.75">
      <c r="A126" s="759"/>
      <c r="B126" s="760"/>
      <c r="C126" s="759"/>
      <c r="D126" s="759"/>
      <c r="E126" s="759"/>
      <c r="F126" s="759"/>
      <c r="G126" s="759"/>
      <c r="H126" s="759"/>
    </row>
    <row r="127" spans="1:8" s="751" customFormat="1" ht="12.75">
      <c r="A127" s="759"/>
      <c r="B127" s="760"/>
      <c r="C127" s="759"/>
      <c r="D127" s="759"/>
      <c r="E127" s="759"/>
      <c r="F127" s="759"/>
      <c r="G127" s="759"/>
      <c r="H127" s="759"/>
    </row>
    <row r="128" spans="1:8" s="751" customFormat="1" ht="12.75">
      <c r="A128" s="759"/>
      <c r="B128" s="760"/>
      <c r="C128" s="759"/>
      <c r="D128" s="759"/>
      <c r="E128" s="759"/>
      <c r="F128" s="759"/>
      <c r="G128" s="759"/>
      <c r="H128" s="759"/>
    </row>
    <row r="129" spans="1:8" s="751" customFormat="1" ht="12.75">
      <c r="A129" s="759"/>
      <c r="B129" s="760"/>
      <c r="C129" s="759"/>
      <c r="D129" s="759"/>
      <c r="E129" s="759"/>
      <c r="F129" s="759"/>
      <c r="G129" s="759"/>
      <c r="H129" s="759"/>
    </row>
    <row r="130" spans="1:8" s="751" customFormat="1" ht="12.75">
      <c r="A130" s="759"/>
      <c r="B130" s="760"/>
      <c r="C130" s="759"/>
      <c r="D130" s="759"/>
      <c r="E130" s="759"/>
      <c r="F130" s="759"/>
      <c r="G130" s="759"/>
      <c r="H130" s="759"/>
    </row>
    <row r="131" spans="1:8" s="751" customFormat="1" ht="12.75">
      <c r="A131" s="759"/>
      <c r="B131" s="760"/>
      <c r="C131" s="759"/>
      <c r="D131" s="759"/>
      <c r="E131" s="759"/>
      <c r="F131" s="759"/>
      <c r="G131" s="759"/>
      <c r="H131" s="759"/>
    </row>
    <row r="132" spans="1:8" s="751" customFormat="1" ht="12.75">
      <c r="A132" s="759"/>
      <c r="B132" s="760"/>
      <c r="C132" s="759"/>
      <c r="D132" s="759"/>
      <c r="E132" s="759"/>
      <c r="F132" s="759"/>
      <c r="G132" s="759"/>
      <c r="H132" s="759"/>
    </row>
    <row r="133" spans="1:8" s="751" customFormat="1" ht="12.75">
      <c r="A133" s="759"/>
      <c r="B133" s="760"/>
      <c r="C133" s="759"/>
      <c r="D133" s="759"/>
      <c r="E133" s="759"/>
      <c r="F133" s="759"/>
      <c r="G133" s="759"/>
      <c r="H133" s="759"/>
    </row>
    <row r="134" spans="1:8" s="751" customFormat="1" ht="12.75">
      <c r="A134" s="759"/>
      <c r="B134" s="760"/>
      <c r="C134" s="759"/>
      <c r="D134" s="759"/>
      <c r="E134" s="759"/>
      <c r="F134" s="759"/>
      <c r="G134" s="759"/>
      <c r="H134" s="759"/>
    </row>
    <row r="135" spans="1:8" s="751" customFormat="1" ht="12.75">
      <c r="A135" s="759"/>
      <c r="B135" s="760"/>
      <c r="C135" s="759"/>
      <c r="D135" s="759"/>
      <c r="E135" s="759"/>
      <c r="F135" s="759"/>
      <c r="G135" s="759"/>
      <c r="H135" s="759"/>
    </row>
    <row r="136" spans="1:8" s="751" customFormat="1" ht="12.75">
      <c r="A136" s="759"/>
      <c r="B136" s="760"/>
      <c r="C136" s="759"/>
      <c r="D136" s="759"/>
      <c r="E136" s="759"/>
      <c r="F136" s="759"/>
      <c r="G136" s="759"/>
      <c r="H136" s="759"/>
    </row>
    <row r="137" spans="1:8" s="751" customFormat="1" ht="12.75">
      <c r="A137" s="759"/>
      <c r="B137" s="760"/>
      <c r="C137" s="759"/>
      <c r="D137" s="759"/>
      <c r="E137" s="759"/>
      <c r="F137" s="759"/>
      <c r="G137" s="759"/>
      <c r="H137" s="759"/>
    </row>
    <row r="138" spans="1:8" s="751" customFormat="1" ht="12.75">
      <c r="A138" s="759"/>
      <c r="B138" s="760"/>
      <c r="C138" s="759"/>
      <c r="D138" s="759"/>
      <c r="E138" s="759"/>
      <c r="F138" s="759"/>
      <c r="G138" s="759"/>
      <c r="H138" s="759"/>
    </row>
    <row r="139" spans="1:8" s="751" customFormat="1" ht="12.75">
      <c r="A139" s="759"/>
      <c r="B139" s="760"/>
      <c r="C139" s="759"/>
      <c r="D139" s="759"/>
      <c r="E139" s="759"/>
      <c r="F139" s="759"/>
      <c r="G139" s="759"/>
      <c r="H139" s="759"/>
    </row>
    <row r="140" spans="1:8" s="751" customFormat="1" ht="12.75">
      <c r="A140" s="759"/>
      <c r="B140" s="760"/>
      <c r="C140" s="759"/>
      <c r="D140" s="759"/>
      <c r="E140" s="759"/>
      <c r="F140" s="759"/>
      <c r="G140" s="759"/>
      <c r="H140" s="759"/>
    </row>
    <row r="141" spans="1:8" s="751" customFormat="1" ht="12.75">
      <c r="A141" s="759"/>
      <c r="B141" s="760"/>
      <c r="C141" s="759"/>
      <c r="D141" s="759"/>
      <c r="E141" s="759"/>
      <c r="F141" s="759"/>
      <c r="G141" s="759"/>
      <c r="H141" s="759"/>
    </row>
    <row r="142" spans="1:8" s="751" customFormat="1" ht="12.75">
      <c r="A142" s="759"/>
      <c r="B142" s="760"/>
      <c r="C142" s="759"/>
      <c r="D142" s="759"/>
      <c r="E142" s="759"/>
      <c r="F142" s="759"/>
      <c r="G142" s="759"/>
      <c r="H142" s="759"/>
    </row>
    <row r="143" spans="1:8" s="751" customFormat="1" ht="12.75">
      <c r="A143" s="759"/>
      <c r="B143" s="760"/>
      <c r="C143" s="759"/>
      <c r="D143" s="759"/>
      <c r="E143" s="759"/>
      <c r="F143" s="759"/>
      <c r="G143" s="759"/>
      <c r="H143" s="759"/>
    </row>
    <row r="144" spans="1:8" s="751" customFormat="1" ht="12.75">
      <c r="A144" s="759"/>
      <c r="B144" s="760"/>
      <c r="C144" s="759"/>
      <c r="D144" s="759"/>
      <c r="E144" s="759"/>
      <c r="F144" s="759"/>
      <c r="G144" s="759"/>
      <c r="H144" s="759"/>
    </row>
    <row r="145" spans="1:8" s="751" customFormat="1" ht="12.75">
      <c r="A145" s="759"/>
      <c r="B145" s="760"/>
      <c r="C145" s="759"/>
      <c r="D145" s="759"/>
      <c r="E145" s="759"/>
      <c r="F145" s="759"/>
      <c r="G145" s="759"/>
      <c r="H145" s="759"/>
    </row>
    <row r="146" spans="1:8" s="751" customFormat="1" ht="12.75">
      <c r="A146" s="759"/>
      <c r="B146" s="760"/>
      <c r="C146" s="759"/>
      <c r="D146" s="759"/>
      <c r="E146" s="759"/>
      <c r="F146" s="759"/>
      <c r="G146" s="759"/>
      <c r="H146" s="759"/>
    </row>
    <row r="147" spans="1:8" s="751" customFormat="1" ht="12.75">
      <c r="A147" s="759"/>
      <c r="B147" s="760"/>
      <c r="C147" s="759"/>
      <c r="D147" s="759"/>
      <c r="E147" s="759"/>
      <c r="F147" s="759"/>
      <c r="G147" s="759"/>
      <c r="H147" s="759"/>
    </row>
    <row r="148" spans="1:8" s="751" customFormat="1" ht="12.75">
      <c r="A148" s="759"/>
      <c r="B148" s="760"/>
      <c r="C148" s="759"/>
      <c r="D148" s="759"/>
      <c r="E148" s="759"/>
      <c r="F148" s="759"/>
      <c r="G148" s="759"/>
      <c r="H148" s="759"/>
    </row>
    <row r="149" spans="1:8" s="751" customFormat="1" ht="12.75">
      <c r="A149" s="759"/>
      <c r="B149" s="760"/>
      <c r="C149" s="759"/>
      <c r="D149" s="759"/>
      <c r="E149" s="759"/>
      <c r="F149" s="759"/>
      <c r="G149" s="759"/>
      <c r="H149" s="759"/>
    </row>
    <row r="150" spans="1:8" s="751" customFormat="1" ht="12.75">
      <c r="A150" s="759"/>
      <c r="B150" s="760"/>
      <c r="C150" s="759"/>
      <c r="D150" s="759"/>
      <c r="E150" s="759"/>
      <c r="F150" s="759"/>
      <c r="G150" s="759"/>
      <c r="H150" s="759"/>
    </row>
    <row r="151" spans="1:8" s="751" customFormat="1" ht="12.75">
      <c r="A151" s="759"/>
      <c r="B151" s="760"/>
      <c r="C151" s="759"/>
      <c r="D151" s="759"/>
      <c r="E151" s="759"/>
      <c r="F151" s="759"/>
      <c r="G151" s="759"/>
      <c r="H151" s="759"/>
    </row>
    <row r="152" spans="1:8" s="751" customFormat="1" ht="12.75">
      <c r="A152" s="759"/>
      <c r="B152" s="760"/>
      <c r="C152" s="759"/>
      <c r="D152" s="759"/>
      <c r="E152" s="759"/>
      <c r="F152" s="759"/>
      <c r="G152" s="759"/>
      <c r="H152" s="759"/>
    </row>
    <row r="153" spans="1:8" s="751" customFormat="1" ht="12.75">
      <c r="A153" s="759"/>
      <c r="B153" s="760"/>
      <c r="C153" s="759"/>
      <c r="D153" s="759"/>
      <c r="E153" s="759"/>
      <c r="F153" s="759"/>
      <c r="G153" s="759"/>
      <c r="H153" s="759"/>
    </row>
    <row r="154" spans="1:8" s="751" customFormat="1" ht="12.75">
      <c r="A154" s="759"/>
      <c r="B154" s="760"/>
      <c r="C154" s="759"/>
      <c r="D154" s="759"/>
      <c r="E154" s="759"/>
      <c r="F154" s="759"/>
      <c r="G154" s="759"/>
      <c r="H154" s="759"/>
    </row>
    <row r="155" spans="1:8" s="751" customFormat="1" ht="12.75">
      <c r="A155" s="759"/>
      <c r="B155" s="760"/>
      <c r="C155" s="759"/>
      <c r="D155" s="759"/>
      <c r="E155" s="759"/>
      <c r="F155" s="759"/>
      <c r="G155" s="759"/>
      <c r="H155" s="759"/>
    </row>
    <row r="156" spans="1:8" s="751" customFormat="1" ht="12.75">
      <c r="A156" s="759"/>
      <c r="B156" s="760"/>
      <c r="C156" s="759"/>
      <c r="D156" s="759"/>
      <c r="E156" s="759"/>
      <c r="F156" s="759"/>
      <c r="G156" s="759"/>
      <c r="H156" s="759"/>
    </row>
    <row r="157" spans="1:8" s="751" customFormat="1" ht="12.75">
      <c r="A157" s="759"/>
      <c r="B157" s="760"/>
      <c r="C157" s="759"/>
      <c r="D157" s="759"/>
      <c r="E157" s="759"/>
      <c r="F157" s="759"/>
      <c r="G157" s="759"/>
      <c r="H157" s="759"/>
    </row>
    <row r="158" spans="1:8" s="751" customFormat="1" ht="12.75">
      <c r="A158" s="759"/>
      <c r="B158" s="760"/>
      <c r="C158" s="759"/>
      <c r="D158" s="759"/>
      <c r="E158" s="759"/>
      <c r="F158" s="759"/>
      <c r="G158" s="759"/>
      <c r="H158" s="759"/>
    </row>
    <row r="159" spans="1:8" s="751" customFormat="1" ht="12.75">
      <c r="A159" s="759"/>
      <c r="B159" s="760"/>
      <c r="C159" s="759"/>
      <c r="D159" s="759"/>
      <c r="E159" s="759"/>
      <c r="F159" s="759"/>
      <c r="G159" s="759"/>
      <c r="H159" s="759"/>
    </row>
    <row r="160" spans="1:8" s="751" customFormat="1" ht="12.75">
      <c r="A160" s="759"/>
      <c r="B160" s="760"/>
      <c r="C160" s="759"/>
      <c r="D160" s="759"/>
      <c r="E160" s="759"/>
      <c r="F160" s="759"/>
      <c r="G160" s="759"/>
      <c r="H160" s="759"/>
    </row>
    <row r="161" spans="1:8" s="751" customFormat="1" ht="12.75">
      <c r="A161" s="759"/>
      <c r="B161" s="760"/>
      <c r="C161" s="759"/>
      <c r="D161" s="759"/>
      <c r="E161" s="759"/>
      <c r="F161" s="759"/>
      <c r="G161" s="759"/>
      <c r="H161" s="759"/>
    </row>
    <row r="162" spans="1:8" s="751" customFormat="1" ht="12.75">
      <c r="A162" s="759"/>
      <c r="B162" s="760"/>
      <c r="C162" s="759"/>
      <c r="D162" s="759"/>
      <c r="E162" s="759"/>
      <c r="F162" s="759"/>
      <c r="G162" s="759"/>
      <c r="H162" s="759"/>
    </row>
    <row r="163" spans="1:8" s="751" customFormat="1" ht="12.75">
      <c r="A163" s="759"/>
      <c r="B163" s="760"/>
      <c r="C163" s="759"/>
      <c r="D163" s="759"/>
      <c r="E163" s="759"/>
      <c r="F163" s="759"/>
      <c r="G163" s="759"/>
      <c r="H163" s="759"/>
    </row>
    <row r="164" spans="1:8" s="751" customFormat="1" ht="12.75">
      <c r="A164" s="759"/>
      <c r="B164" s="760"/>
      <c r="C164" s="759"/>
      <c r="D164" s="759"/>
      <c r="E164" s="759"/>
      <c r="F164" s="759"/>
      <c r="G164" s="759"/>
      <c r="H164" s="759"/>
    </row>
    <row r="165" spans="1:8" s="751" customFormat="1" ht="12.75">
      <c r="A165" s="759"/>
      <c r="B165" s="760"/>
      <c r="C165" s="759"/>
      <c r="D165" s="759"/>
      <c r="E165" s="759"/>
      <c r="F165" s="759"/>
      <c r="G165" s="759"/>
      <c r="H165" s="759"/>
    </row>
    <row r="166" spans="1:8" s="751" customFormat="1" ht="12.75">
      <c r="A166" s="759"/>
      <c r="B166" s="760"/>
      <c r="C166" s="759"/>
      <c r="D166" s="759"/>
      <c r="E166" s="759"/>
      <c r="F166" s="759"/>
      <c r="G166" s="759"/>
      <c r="H166" s="759"/>
    </row>
    <row r="167" spans="1:8" s="751" customFormat="1" ht="12.75">
      <c r="A167" s="759"/>
      <c r="B167" s="760"/>
      <c r="C167" s="759"/>
      <c r="D167" s="759"/>
      <c r="E167" s="759"/>
      <c r="F167" s="759"/>
      <c r="G167" s="759"/>
      <c r="H167" s="759"/>
    </row>
    <row r="168" spans="1:8" s="751" customFormat="1" ht="12.75">
      <c r="A168" s="759"/>
      <c r="B168" s="760"/>
      <c r="C168" s="759"/>
      <c r="D168" s="759"/>
      <c r="E168" s="759"/>
      <c r="F168" s="759"/>
      <c r="G168" s="759"/>
      <c r="H168" s="759"/>
    </row>
    <row r="169" spans="1:8" s="751" customFormat="1" ht="12.75">
      <c r="A169" s="759"/>
      <c r="B169" s="760"/>
      <c r="C169" s="759"/>
      <c r="D169" s="759"/>
      <c r="E169" s="759"/>
      <c r="F169" s="759"/>
      <c r="G169" s="759"/>
      <c r="H169" s="759"/>
    </row>
    <row r="170" spans="1:8" s="751" customFormat="1" ht="12.75">
      <c r="A170" s="759"/>
      <c r="B170" s="760"/>
      <c r="C170" s="759"/>
      <c r="D170" s="759"/>
      <c r="E170" s="759"/>
      <c r="F170" s="759"/>
      <c r="G170" s="759"/>
      <c r="H170" s="759"/>
    </row>
    <row r="171" spans="1:8" s="751" customFormat="1" ht="12.75">
      <c r="A171" s="759"/>
      <c r="B171" s="760"/>
      <c r="C171" s="759"/>
      <c r="D171" s="759"/>
      <c r="E171" s="759"/>
      <c r="F171" s="759"/>
      <c r="G171" s="759"/>
      <c r="H171" s="759"/>
    </row>
    <row r="172" spans="1:8" s="751" customFormat="1" ht="12.75">
      <c r="A172" s="759"/>
      <c r="B172" s="760"/>
      <c r="C172" s="759"/>
      <c r="D172" s="759"/>
      <c r="E172" s="759"/>
      <c r="F172" s="759"/>
      <c r="G172" s="759"/>
      <c r="H172" s="759"/>
    </row>
    <row r="173" spans="1:8" s="751" customFormat="1" ht="12.75">
      <c r="A173" s="759"/>
      <c r="B173" s="760"/>
      <c r="C173" s="759"/>
      <c r="D173" s="759"/>
      <c r="E173" s="759"/>
      <c r="F173" s="759"/>
      <c r="G173" s="759"/>
      <c r="H173" s="759"/>
    </row>
    <row r="174" spans="1:8" s="751" customFormat="1" ht="12.75">
      <c r="A174" s="759"/>
      <c r="B174" s="760"/>
      <c r="C174" s="759"/>
      <c r="D174" s="759"/>
      <c r="E174" s="759"/>
      <c r="F174" s="759"/>
      <c r="G174" s="759"/>
      <c r="H174" s="759"/>
    </row>
    <row r="175" spans="1:8" s="751" customFormat="1" ht="12.75">
      <c r="A175" s="759"/>
      <c r="B175" s="760"/>
      <c r="C175" s="759"/>
      <c r="D175" s="759"/>
      <c r="E175" s="759"/>
      <c r="F175" s="759"/>
      <c r="G175" s="759"/>
      <c r="H175" s="759"/>
    </row>
    <row r="176" spans="1:8" s="751" customFormat="1" ht="12.75">
      <c r="A176" s="759"/>
      <c r="B176" s="760"/>
      <c r="C176" s="759"/>
      <c r="D176" s="759"/>
      <c r="E176" s="759"/>
      <c r="F176" s="759"/>
      <c r="G176" s="759"/>
      <c r="H176" s="759"/>
    </row>
    <row r="177" spans="1:8" s="751" customFormat="1" ht="12.75">
      <c r="A177" s="759"/>
      <c r="B177" s="760"/>
      <c r="C177" s="759"/>
      <c r="D177" s="759"/>
      <c r="E177" s="759"/>
      <c r="F177" s="759"/>
      <c r="G177" s="759"/>
      <c r="H177" s="759"/>
    </row>
    <row r="178" spans="1:8" s="751" customFormat="1" ht="12.75">
      <c r="A178" s="759"/>
      <c r="B178" s="760"/>
      <c r="C178" s="759"/>
      <c r="D178" s="759"/>
      <c r="E178" s="759"/>
      <c r="F178" s="759"/>
      <c r="G178" s="759"/>
      <c r="H178" s="759"/>
    </row>
    <row r="179" spans="1:8" s="751" customFormat="1" ht="12.75">
      <c r="A179" s="759"/>
      <c r="B179" s="760"/>
      <c r="C179" s="759"/>
      <c r="D179" s="759"/>
      <c r="E179" s="759"/>
      <c r="F179" s="759"/>
      <c r="G179" s="759"/>
      <c r="H179" s="759"/>
    </row>
    <row r="180" spans="1:8" s="751" customFormat="1" ht="12.75">
      <c r="A180" s="759"/>
      <c r="B180" s="760"/>
      <c r="C180" s="759"/>
      <c r="D180" s="759"/>
      <c r="E180" s="759"/>
      <c r="F180" s="759"/>
      <c r="G180" s="759"/>
      <c r="H180" s="759"/>
    </row>
    <row r="181" spans="1:8" s="751" customFormat="1" ht="12.75">
      <c r="A181" s="759"/>
      <c r="B181" s="760"/>
      <c r="C181" s="759"/>
      <c r="D181" s="759"/>
      <c r="E181" s="759"/>
      <c r="F181" s="759"/>
      <c r="G181" s="759"/>
      <c r="H181" s="759"/>
    </row>
    <row r="182" spans="1:8" s="751" customFormat="1" ht="12.75">
      <c r="A182" s="759"/>
      <c r="B182" s="760"/>
      <c r="C182" s="759"/>
      <c r="D182" s="759"/>
      <c r="E182" s="759"/>
      <c r="F182" s="759"/>
      <c r="G182" s="759"/>
      <c r="H182" s="759"/>
    </row>
    <row r="183" spans="1:8" s="751" customFormat="1" ht="12.75">
      <c r="A183" s="759"/>
      <c r="B183" s="760"/>
      <c r="C183" s="759"/>
      <c r="D183" s="759"/>
      <c r="E183" s="759"/>
      <c r="F183" s="759"/>
      <c r="G183" s="759"/>
      <c r="H183" s="759"/>
    </row>
    <row r="184" spans="1:8" s="751" customFormat="1" ht="12.75">
      <c r="A184" s="759"/>
      <c r="B184" s="760"/>
      <c r="C184" s="759"/>
      <c r="D184" s="759"/>
      <c r="E184" s="759"/>
      <c r="F184" s="759"/>
      <c r="G184" s="759"/>
      <c r="H184" s="759"/>
    </row>
    <row r="185" spans="1:8" s="751" customFormat="1" ht="12.75">
      <c r="A185" s="759"/>
      <c r="B185" s="760"/>
      <c r="C185" s="759"/>
      <c r="D185" s="759"/>
      <c r="E185" s="759"/>
      <c r="F185" s="759"/>
      <c r="G185" s="759"/>
      <c r="H185" s="759"/>
    </row>
    <row r="186" spans="1:8" s="751" customFormat="1" ht="12.75">
      <c r="A186" s="759"/>
      <c r="B186" s="760"/>
      <c r="C186" s="759"/>
      <c r="D186" s="759"/>
      <c r="E186" s="759"/>
      <c r="F186" s="759"/>
      <c r="G186" s="759"/>
      <c r="H186" s="759"/>
    </row>
    <row r="187" spans="1:8" s="751" customFormat="1" ht="12.75">
      <c r="A187" s="759"/>
      <c r="B187" s="760"/>
      <c r="C187" s="759"/>
      <c r="D187" s="759"/>
      <c r="E187" s="759"/>
      <c r="F187" s="759"/>
      <c r="G187" s="759"/>
      <c r="H187" s="759"/>
    </row>
    <row r="188" spans="1:8" s="751" customFormat="1" ht="12.75">
      <c r="A188" s="759"/>
      <c r="B188" s="760"/>
      <c r="C188" s="759"/>
      <c r="D188" s="759"/>
      <c r="E188" s="759"/>
      <c r="F188" s="759"/>
      <c r="G188" s="759"/>
      <c r="H188" s="759"/>
    </row>
    <row r="189" spans="1:8" s="751" customFormat="1" ht="12.75">
      <c r="A189" s="759"/>
      <c r="B189" s="760"/>
      <c r="C189" s="759"/>
      <c r="D189" s="759"/>
      <c r="E189" s="759"/>
      <c r="F189" s="759"/>
      <c r="G189" s="759"/>
      <c r="H189" s="759"/>
    </row>
    <row r="190" spans="1:8" s="751" customFormat="1" ht="12.75">
      <c r="A190" s="759"/>
      <c r="B190" s="760"/>
      <c r="C190" s="759"/>
      <c r="D190" s="759"/>
      <c r="E190" s="759"/>
      <c r="F190" s="759"/>
      <c r="G190" s="759"/>
      <c r="H190" s="759"/>
    </row>
    <row r="191" spans="1:8" s="751" customFormat="1" ht="12.75">
      <c r="A191" s="759"/>
      <c r="B191" s="760"/>
      <c r="C191" s="759"/>
      <c r="D191" s="759"/>
      <c r="E191" s="759"/>
      <c r="F191" s="759"/>
      <c r="G191" s="759"/>
      <c r="H191" s="759"/>
    </row>
    <row r="192" spans="1:8" s="751" customFormat="1" ht="12.75">
      <c r="A192" s="759"/>
      <c r="B192" s="760"/>
      <c r="C192" s="759"/>
      <c r="D192" s="759"/>
      <c r="E192" s="759"/>
      <c r="F192" s="759"/>
      <c r="G192" s="759"/>
      <c r="H192" s="759"/>
    </row>
    <row r="193" spans="1:8" s="751" customFormat="1" ht="12.75">
      <c r="A193" s="759"/>
      <c r="B193" s="760"/>
      <c r="C193" s="759"/>
      <c r="D193" s="759"/>
      <c r="E193" s="759"/>
      <c r="F193" s="759"/>
      <c r="G193" s="759"/>
      <c r="H193" s="759"/>
    </row>
  </sheetData>
  <sheetProtection/>
  <mergeCells count="3">
    <mergeCell ref="S6:T6"/>
    <mergeCell ref="D3:H3"/>
    <mergeCell ref="J3:N3"/>
  </mergeCells>
  <printOptions horizontalCentered="1" verticalCentered="1"/>
  <pageMargins left="0.45" right="0.54" top="0.75" bottom="0" header="0.38" footer="0.5"/>
  <pageSetup blackAndWhite="1" horizontalDpi="300" verticalDpi="300" orientation="landscape" scale="74" r:id="rId3"/>
  <headerFooter alignWithMargins="0">
    <oddHeader>&amp;L&amp;8Washington State Department of Ecology, Toxics Cleanup Program: Database - Properties of Chemicals&amp;R&amp;8&amp;D</oddHeader>
    <oddFooter>&amp;L&amp;8&amp;Z&amp;F&amp;A</oddFooter>
  </headerFooter>
  <legacyDrawing r:id="rId2"/>
</worksheet>
</file>

<file path=xl/worksheets/sheet15.xml><?xml version="1.0" encoding="utf-8"?>
<worksheet xmlns="http://schemas.openxmlformats.org/spreadsheetml/2006/main" xmlns:r="http://schemas.openxmlformats.org/officeDocument/2006/relationships">
  <sheetPr codeName="Sheet21"/>
  <dimension ref="A1:V94"/>
  <sheetViews>
    <sheetView showGridLines="0" showRowColHeaders="0" zoomScale="109" zoomScaleNormal="109" zoomScalePageLayoutView="0" workbookViewId="0" topLeftCell="A1">
      <selection activeCell="L35" sqref="L35"/>
    </sheetView>
  </sheetViews>
  <sheetFormatPr defaultColWidth="9.33203125" defaultRowHeight="12.75"/>
  <cols>
    <col min="1" max="1" width="0.4921875" style="417" customWidth="1"/>
    <col min="2" max="2" width="0.82421875" style="417" customWidth="1"/>
    <col min="3" max="3" width="14.5" style="417" customWidth="1"/>
    <col min="4" max="4" width="7.16015625" style="417" customWidth="1"/>
    <col min="5" max="5" width="3.66015625" style="417" customWidth="1"/>
    <col min="6" max="6" width="7.66015625" style="417" customWidth="1"/>
    <col min="7" max="7" width="10.83203125" style="417" customWidth="1"/>
    <col min="8" max="10" width="6.83203125" style="417" customWidth="1"/>
    <col min="11" max="11" width="8.16015625" style="417" customWidth="1"/>
    <col min="12" max="19" width="6.83203125" style="417" customWidth="1"/>
    <col min="20" max="20" width="0.65625" style="463" customWidth="1"/>
    <col min="21" max="21" width="4.83203125" style="417" customWidth="1"/>
    <col min="22" max="23" width="4.33203125" style="417" customWidth="1"/>
    <col min="24" max="16384" width="8.83203125" style="417" customWidth="1"/>
  </cols>
  <sheetData>
    <row r="1" spans="1:19" ht="18" customHeight="1">
      <c r="A1" s="415"/>
      <c r="B1" s="416"/>
      <c r="C1" s="416" t="s">
        <v>425</v>
      </c>
      <c r="D1" s="416"/>
      <c r="E1" s="416"/>
      <c r="F1" s="416"/>
      <c r="G1" s="416"/>
      <c r="H1" s="416"/>
      <c r="I1" s="416"/>
      <c r="J1" s="416"/>
      <c r="K1" s="416"/>
      <c r="L1" s="416"/>
      <c r="M1" s="416"/>
      <c r="N1" s="416"/>
      <c r="O1" s="416"/>
      <c r="P1" s="416"/>
      <c r="Q1" s="416"/>
      <c r="R1" s="416"/>
      <c r="S1" s="416"/>
    </row>
    <row r="2" spans="1:19" ht="15.75">
      <c r="A2" s="1004"/>
      <c r="B2" s="415"/>
      <c r="C2" s="418"/>
      <c r="D2" s="208" t="str">
        <f>Historical_data_entry_1!D2</f>
        <v>Site Name:</v>
      </c>
      <c r="E2" s="1073" t="s">
        <v>428</v>
      </c>
      <c r="F2" s="1068"/>
      <c r="G2" s="1069"/>
      <c r="H2" s="1069"/>
      <c r="I2" s="1070"/>
      <c r="J2" s="1071"/>
      <c r="K2" s="415"/>
      <c r="L2" s="415"/>
      <c r="M2" s="415"/>
      <c r="N2" s="415"/>
      <c r="O2" s="415"/>
      <c r="P2" s="415"/>
      <c r="Q2" s="415"/>
      <c r="R2" s="415"/>
      <c r="S2" s="415"/>
    </row>
    <row r="3" spans="1:19" ht="12.75">
      <c r="A3" s="415"/>
      <c r="B3" s="415"/>
      <c r="C3" s="418"/>
      <c r="D3" s="208" t="str">
        <f>Historical_data_entry_1!D3</f>
        <v>Site Address:</v>
      </c>
      <c r="E3" s="1073" t="s">
        <v>429</v>
      </c>
      <c r="F3" s="1068"/>
      <c r="G3" s="1069"/>
      <c r="H3" s="1069"/>
      <c r="I3" s="1070"/>
      <c r="J3" s="1071"/>
      <c r="K3" s="415"/>
      <c r="L3" s="415"/>
      <c r="M3" s="415"/>
      <c r="N3" s="415"/>
      <c r="O3" s="415"/>
      <c r="P3" s="415"/>
      <c r="Q3" s="415"/>
      <c r="R3" s="415"/>
      <c r="S3" s="415"/>
    </row>
    <row r="4" spans="1:19" ht="12.75">
      <c r="A4" s="415"/>
      <c r="B4" s="415"/>
      <c r="C4" s="418"/>
      <c r="D4" s="208" t="str">
        <f>Historical_data_entry_1!D4</f>
        <v>Additional Description:</v>
      </c>
      <c r="E4" s="1073" t="s">
        <v>430</v>
      </c>
      <c r="F4" s="1068"/>
      <c r="G4" s="1072"/>
      <c r="H4" s="1069"/>
      <c r="I4" s="1070"/>
      <c r="J4" s="1071"/>
      <c r="K4" s="415"/>
      <c r="L4" s="415"/>
      <c r="M4" s="415"/>
      <c r="N4" s="415"/>
      <c r="O4" s="415"/>
      <c r="P4" s="415"/>
      <c r="Q4" s="415"/>
      <c r="R4" s="415"/>
      <c r="S4" s="415"/>
    </row>
    <row r="5" spans="1:19" ht="3" customHeight="1" thickBot="1">
      <c r="A5" s="419"/>
      <c r="B5" s="419"/>
      <c r="C5" s="420"/>
      <c r="D5" s="211"/>
      <c r="E5" s="419"/>
      <c r="F5" s="421"/>
      <c r="G5" s="422"/>
      <c r="H5" s="422"/>
      <c r="I5" s="419"/>
      <c r="J5" s="419"/>
      <c r="K5" s="419"/>
      <c r="L5" s="419"/>
      <c r="M5" s="419"/>
      <c r="N5" s="419"/>
      <c r="O5" s="419"/>
      <c r="P5" s="419"/>
      <c r="Q5" s="419"/>
      <c r="R5" s="419"/>
      <c r="S5" s="419"/>
    </row>
    <row r="6" spans="1:20" s="428" customFormat="1" ht="3" customHeight="1" thickTop="1">
      <c r="A6" s="423"/>
      <c r="B6" s="423"/>
      <c r="C6" s="424"/>
      <c r="D6" s="425"/>
      <c r="E6" s="423"/>
      <c r="F6" s="426"/>
      <c r="G6" s="427"/>
      <c r="H6" s="427"/>
      <c r="I6" s="423"/>
      <c r="J6" s="423"/>
      <c r="K6" s="423"/>
      <c r="L6" s="423"/>
      <c r="M6" s="423"/>
      <c r="N6" s="423"/>
      <c r="O6" s="423"/>
      <c r="P6" s="423"/>
      <c r="Q6" s="423"/>
      <c r="R6" s="423"/>
      <c r="S6" s="423"/>
      <c r="T6" s="472"/>
    </row>
    <row r="7" spans="1:19" ht="3" customHeight="1">
      <c r="A7" s="415"/>
      <c r="B7" s="415"/>
      <c r="C7" s="429"/>
      <c r="D7" s="415"/>
      <c r="E7" s="415"/>
      <c r="F7" s="415"/>
      <c r="G7" s="415"/>
      <c r="H7" s="415"/>
      <c r="I7" s="415"/>
      <c r="J7" s="415"/>
      <c r="K7" s="415"/>
      <c r="L7" s="415"/>
      <c r="M7" s="415"/>
      <c r="N7" s="415"/>
      <c r="O7" s="415"/>
      <c r="P7" s="415"/>
      <c r="Q7" s="415"/>
      <c r="R7" s="415"/>
      <c r="S7" s="415"/>
    </row>
    <row r="8" spans="1:19" ht="12.75" customHeight="1">
      <c r="A8" s="415"/>
      <c r="B8" s="415"/>
      <c r="C8" s="1051" t="s">
        <v>426</v>
      </c>
      <c r="D8" s="423"/>
      <c r="E8" s="423"/>
      <c r="F8" s="423"/>
      <c r="G8" s="423"/>
      <c r="H8" s="423"/>
      <c r="I8" s="423"/>
      <c r="J8" s="423"/>
      <c r="K8" s="423"/>
      <c r="L8" s="423"/>
      <c r="M8" s="423"/>
      <c r="N8" s="423"/>
      <c r="O8" s="423"/>
      <c r="P8" s="423"/>
      <c r="Q8" s="423"/>
      <c r="R8" s="423"/>
      <c r="S8" s="423"/>
    </row>
    <row r="9" spans="1:19" ht="2.25" customHeight="1" thickBot="1">
      <c r="A9" s="415"/>
      <c r="B9" s="415"/>
      <c r="C9" s="433"/>
      <c r="D9" s="433"/>
      <c r="E9" s="433"/>
      <c r="F9" s="433"/>
      <c r="G9" s="433"/>
      <c r="H9" s="433"/>
      <c r="I9" s="433"/>
      <c r="J9" s="433"/>
      <c r="K9" s="433"/>
      <c r="L9" s="433"/>
      <c r="M9" s="433"/>
      <c r="N9" s="433"/>
      <c r="O9" s="433"/>
      <c r="P9" s="433"/>
      <c r="Q9" s="433"/>
      <c r="R9" s="433"/>
      <c r="S9" s="433"/>
    </row>
    <row r="10" spans="1:20" s="428" customFormat="1" ht="13.5" thickBot="1">
      <c r="A10" s="423"/>
      <c r="B10" s="423"/>
      <c r="C10" s="913" t="s">
        <v>10</v>
      </c>
      <c r="D10" s="903"/>
      <c r="E10" s="903"/>
      <c r="F10" s="1061" t="s">
        <v>0</v>
      </c>
      <c r="G10" s="1054"/>
      <c r="H10" s="947"/>
      <c r="I10" s="948"/>
      <c r="J10" s="948" t="s">
        <v>413</v>
      </c>
      <c r="K10" s="1113" t="s">
        <v>438</v>
      </c>
      <c r="L10" s="948" t="s">
        <v>414</v>
      </c>
      <c r="M10" s="948" t="s">
        <v>415</v>
      </c>
      <c r="N10" s="948" t="s">
        <v>7</v>
      </c>
      <c r="O10" s="948" t="s">
        <v>8</v>
      </c>
      <c r="P10" s="948"/>
      <c r="Q10" s="948"/>
      <c r="R10" s="948"/>
      <c r="S10" s="950"/>
      <c r="T10" s="475"/>
    </row>
    <row r="11" spans="1:20" s="428" customFormat="1" ht="13.5" hidden="1" thickBot="1">
      <c r="A11" s="423"/>
      <c r="B11" s="423"/>
      <c r="C11" s="914"/>
      <c r="D11" s="915"/>
      <c r="E11" s="915"/>
      <c r="F11" s="1062"/>
      <c r="G11" s="1055"/>
      <c r="H11" s="951"/>
      <c r="I11" s="952"/>
      <c r="J11" s="952">
        <v>-10</v>
      </c>
      <c r="K11" s="953">
        <v>0</v>
      </c>
      <c r="L11" s="952">
        <v>30</v>
      </c>
      <c r="M11" s="952">
        <v>68</v>
      </c>
      <c r="N11" s="952">
        <v>110</v>
      </c>
      <c r="O11" s="952">
        <v>170</v>
      </c>
      <c r="P11" s="952"/>
      <c r="Q11" s="952"/>
      <c r="R11" s="952"/>
      <c r="S11" s="954"/>
      <c r="T11" s="475"/>
    </row>
    <row r="12" spans="1:20" s="428" customFormat="1" ht="13.5" thickBot="1">
      <c r="A12" s="423"/>
      <c r="B12" s="423"/>
      <c r="C12" s="913" t="s">
        <v>323</v>
      </c>
      <c r="D12" s="903"/>
      <c r="E12" s="903"/>
      <c r="F12" s="1061" t="s">
        <v>1</v>
      </c>
      <c r="G12" s="1054"/>
      <c r="H12" s="947"/>
      <c r="I12" s="948"/>
      <c r="J12" s="948">
        <v>-10</v>
      </c>
      <c r="K12" s="955">
        <v>0</v>
      </c>
      <c r="L12" s="948">
        <v>30</v>
      </c>
      <c r="M12" s="948">
        <v>68</v>
      </c>
      <c r="N12" s="948">
        <v>110</v>
      </c>
      <c r="O12" s="948">
        <v>170</v>
      </c>
      <c r="P12" s="948"/>
      <c r="Q12" s="948"/>
      <c r="R12" s="948"/>
      <c r="S12" s="950"/>
      <c r="T12" s="472"/>
    </row>
    <row r="13" spans="1:20" s="428" customFormat="1" ht="12.75" customHeight="1">
      <c r="A13" s="423"/>
      <c r="B13" s="423"/>
      <c r="C13" s="905" t="s">
        <v>25</v>
      </c>
      <c r="D13" s="907"/>
      <c r="E13" s="907"/>
      <c r="F13" s="1063" t="s">
        <v>19</v>
      </c>
      <c r="G13" s="1056"/>
      <c r="H13" s="956"/>
      <c r="I13" s="508"/>
      <c r="J13" s="508">
        <v>120</v>
      </c>
      <c r="K13" s="957">
        <v>2367</v>
      </c>
      <c r="L13" s="508">
        <v>2900</v>
      </c>
      <c r="M13" s="508">
        <v>450</v>
      </c>
      <c r="N13" s="508">
        <v>120</v>
      </c>
      <c r="O13" s="508">
        <v>15</v>
      </c>
      <c r="P13" s="508"/>
      <c r="Q13" s="508"/>
      <c r="R13" s="508"/>
      <c r="S13" s="616"/>
      <c r="T13" s="472"/>
    </row>
    <row r="14" spans="1:20" s="428" customFormat="1" ht="12.75">
      <c r="A14" s="423"/>
      <c r="B14" s="423"/>
      <c r="C14" s="891" t="s">
        <v>26</v>
      </c>
      <c r="D14" s="909"/>
      <c r="E14" s="909"/>
      <c r="F14" s="1064" t="s">
        <v>19</v>
      </c>
      <c r="G14" s="1057"/>
      <c r="H14" s="958"/>
      <c r="I14" s="480"/>
      <c r="J14" s="480"/>
      <c r="K14" s="959">
        <v>1500</v>
      </c>
      <c r="L14" s="480">
        <v>1200</v>
      </c>
      <c r="M14" s="480">
        <v>250</v>
      </c>
      <c r="N14" s="480">
        <v>15</v>
      </c>
      <c r="O14" s="480">
        <v>36</v>
      </c>
      <c r="P14" s="480"/>
      <c r="Q14" s="480"/>
      <c r="R14" s="480"/>
      <c r="S14" s="617"/>
      <c r="T14" s="472"/>
    </row>
    <row r="15" spans="1:20" s="428" customFormat="1" ht="12.75">
      <c r="A15" s="423"/>
      <c r="B15" s="423"/>
      <c r="C15" s="891" t="s">
        <v>27</v>
      </c>
      <c r="D15" s="909"/>
      <c r="E15" s="909"/>
      <c r="F15" s="1064" t="s">
        <v>19</v>
      </c>
      <c r="G15" s="1057"/>
      <c r="H15" s="958"/>
      <c r="I15" s="480"/>
      <c r="J15" s="480">
        <v>345</v>
      </c>
      <c r="K15" s="959">
        <v>460</v>
      </c>
      <c r="L15" s="480">
        <v>89</v>
      </c>
      <c r="M15" s="480">
        <v>34</v>
      </c>
      <c r="N15" s="480"/>
      <c r="O15" s="480">
        <v>12</v>
      </c>
      <c r="P15" s="480"/>
      <c r="Q15" s="480"/>
      <c r="R15" s="480"/>
      <c r="S15" s="617"/>
      <c r="T15" s="472"/>
    </row>
    <row r="16" spans="1:20" s="428" customFormat="1" ht="12.75">
      <c r="A16" s="423"/>
      <c r="B16" s="423"/>
      <c r="C16" s="891" t="s">
        <v>28</v>
      </c>
      <c r="D16" s="909"/>
      <c r="E16" s="909"/>
      <c r="F16" s="1064" t="s">
        <v>19</v>
      </c>
      <c r="G16" s="1057"/>
      <c r="H16" s="958"/>
      <c r="I16" s="480"/>
      <c r="J16" s="480">
        <v>100</v>
      </c>
      <c r="K16" s="959">
        <v>2500</v>
      </c>
      <c r="L16" s="480">
        <v>569</v>
      </c>
      <c r="M16" s="480">
        <v>347</v>
      </c>
      <c r="N16" s="480">
        <v>23</v>
      </c>
      <c r="O16" s="480">
        <v>12</v>
      </c>
      <c r="P16" s="480"/>
      <c r="Q16" s="480"/>
      <c r="R16" s="480"/>
      <c r="S16" s="617"/>
      <c r="T16" s="472"/>
    </row>
    <row r="17" spans="1:20" s="428" customFormat="1" ht="12.75">
      <c r="A17" s="423"/>
      <c r="B17" s="423"/>
      <c r="C17" s="916" t="s">
        <v>157</v>
      </c>
      <c r="D17" s="917"/>
      <c r="E17" s="917"/>
      <c r="F17" s="1065" t="s">
        <v>19</v>
      </c>
      <c r="G17" s="1058"/>
      <c r="H17" s="960"/>
      <c r="I17" s="488"/>
      <c r="J17" s="488"/>
      <c r="K17" s="961">
        <v>900</v>
      </c>
      <c r="L17" s="488">
        <v>450</v>
      </c>
      <c r="M17" s="488"/>
      <c r="N17" s="488"/>
      <c r="O17" s="488"/>
      <c r="P17" s="488"/>
      <c r="Q17" s="488"/>
      <c r="R17" s="488"/>
      <c r="S17" s="962"/>
      <c r="T17" s="472"/>
    </row>
    <row r="18" spans="1:20" s="428" customFormat="1" ht="12.75">
      <c r="A18" s="423"/>
      <c r="B18" s="423"/>
      <c r="C18" s="1159" t="s">
        <v>248</v>
      </c>
      <c r="D18" s="1160"/>
      <c r="E18" s="1161"/>
      <c r="F18" s="1066" t="s">
        <v>19</v>
      </c>
      <c r="G18" s="1059"/>
      <c r="H18" s="963"/>
      <c r="I18" s="822"/>
      <c r="J18" s="822"/>
      <c r="K18" s="964"/>
      <c r="L18" s="822"/>
      <c r="M18" s="822"/>
      <c r="N18" s="822"/>
      <c r="O18" s="822"/>
      <c r="P18" s="822"/>
      <c r="Q18" s="822"/>
      <c r="R18" s="822"/>
      <c r="S18" s="823"/>
      <c r="T18" s="472"/>
    </row>
    <row r="19" spans="1:20" s="428" customFormat="1" ht="13.5" thickBot="1">
      <c r="A19" s="423"/>
      <c r="B19" s="423"/>
      <c r="C19" s="1162" t="s">
        <v>249</v>
      </c>
      <c r="D19" s="1163"/>
      <c r="E19" s="1164"/>
      <c r="F19" s="1067" t="s">
        <v>19</v>
      </c>
      <c r="G19" s="1060"/>
      <c r="H19" s="965"/>
      <c r="I19" s="521"/>
      <c r="J19" s="521"/>
      <c r="K19" s="966"/>
      <c r="L19" s="521"/>
      <c r="M19" s="521"/>
      <c r="N19" s="521"/>
      <c r="O19" s="521"/>
      <c r="P19" s="521"/>
      <c r="Q19" s="521"/>
      <c r="R19" s="521"/>
      <c r="S19" s="522"/>
      <c r="T19" s="472"/>
    </row>
    <row r="20" spans="1:20" s="428" customFormat="1" ht="6" customHeight="1">
      <c r="A20" s="423"/>
      <c r="B20" s="423"/>
      <c r="C20" s="446"/>
      <c r="D20" s="423"/>
      <c r="E20" s="423"/>
      <c r="F20" s="447"/>
      <c r="G20" s="436"/>
      <c r="H20" s="436"/>
      <c r="I20" s="436"/>
      <c r="J20" s="436"/>
      <c r="K20" s="436"/>
      <c r="L20" s="436"/>
      <c r="M20" s="436"/>
      <c r="N20" s="436"/>
      <c r="O20" s="436"/>
      <c r="P20" s="436"/>
      <c r="Q20" s="436"/>
      <c r="R20" s="436"/>
      <c r="S20" s="436"/>
      <c r="T20" s="472"/>
    </row>
    <row r="21" spans="1:20" s="428" customFormat="1" ht="13.5" thickBot="1">
      <c r="A21" s="423"/>
      <c r="B21" s="423"/>
      <c r="C21" s="1052" t="s">
        <v>427</v>
      </c>
      <c r="D21" s="433"/>
      <c r="E21" s="433"/>
      <c r="F21" s="637"/>
      <c r="G21" s="492"/>
      <c r="H21" s="492"/>
      <c r="I21" s="492"/>
      <c r="J21" s="492"/>
      <c r="K21" s="492"/>
      <c r="L21" s="492"/>
      <c r="M21" s="492"/>
      <c r="N21" s="492"/>
      <c r="O21" s="492"/>
      <c r="P21" s="492"/>
      <c r="Q21" s="492"/>
      <c r="R21" s="492"/>
      <c r="S21" s="492"/>
      <c r="T21" s="472"/>
    </row>
    <row r="22" spans="1:20" s="428" customFormat="1" ht="13.5" thickBot="1">
      <c r="A22" s="423"/>
      <c r="B22" s="423"/>
      <c r="C22" s="902"/>
      <c r="D22" s="903"/>
      <c r="E22" s="903"/>
      <c r="F22" s="904" t="s">
        <v>0</v>
      </c>
      <c r="G22" s="967" t="s">
        <v>112</v>
      </c>
      <c r="H22" s="610" t="str">
        <f>IF(ISBLANK(H10),"NA",H10)</f>
        <v>NA</v>
      </c>
      <c r="I22" s="611" t="str">
        <f aca="true" t="shared" si="0" ref="I22:S22">IF(ISBLANK(I10),"NA",I10)</f>
        <v>NA</v>
      </c>
      <c r="J22" s="611" t="str">
        <f t="shared" si="0"/>
        <v>UG-1</v>
      </c>
      <c r="K22" s="949" t="str">
        <f t="shared" si="0"/>
        <v>MW-1</v>
      </c>
      <c r="L22" s="611" t="str">
        <f t="shared" si="0"/>
        <v>MW2</v>
      </c>
      <c r="M22" s="611" t="str">
        <f t="shared" si="0"/>
        <v>MW4</v>
      </c>
      <c r="N22" s="611" t="str">
        <f t="shared" si="0"/>
        <v>MW6</v>
      </c>
      <c r="O22" s="611" t="str">
        <f t="shared" si="0"/>
        <v>MW8</v>
      </c>
      <c r="P22" s="611" t="str">
        <f t="shared" si="0"/>
        <v>NA</v>
      </c>
      <c r="Q22" s="611" t="str">
        <f t="shared" si="0"/>
        <v>NA</v>
      </c>
      <c r="R22" s="611" t="str">
        <f t="shared" si="0"/>
        <v>NA</v>
      </c>
      <c r="S22" s="612" t="str">
        <f t="shared" si="0"/>
        <v>NA</v>
      </c>
      <c r="T22" s="472"/>
    </row>
    <row r="23" spans="1:20" s="428" customFormat="1" ht="12.75">
      <c r="A23" s="423"/>
      <c r="B23" s="423"/>
      <c r="C23" s="905" t="s">
        <v>348</v>
      </c>
      <c r="D23" s="906"/>
      <c r="E23" s="907"/>
      <c r="F23" s="908" t="s">
        <v>110</v>
      </c>
      <c r="G23" s="968">
        <v>7.5</v>
      </c>
      <c r="H23" s="956"/>
      <c r="I23" s="508"/>
      <c r="J23" s="508">
        <v>3.5</v>
      </c>
      <c r="K23" s="957">
        <v>0.1</v>
      </c>
      <c r="L23" s="508">
        <v>0.5</v>
      </c>
      <c r="M23" s="508">
        <v>1</v>
      </c>
      <c r="N23" s="508">
        <v>2.5</v>
      </c>
      <c r="O23" s="508">
        <v>7</v>
      </c>
      <c r="P23" s="508"/>
      <c r="Q23" s="508"/>
      <c r="R23" s="508"/>
      <c r="S23" s="616"/>
      <c r="T23" s="472"/>
    </row>
    <row r="24" spans="1:20" s="428" customFormat="1" ht="12.75">
      <c r="A24" s="423"/>
      <c r="B24" s="423"/>
      <c r="C24" s="891" t="s">
        <v>344</v>
      </c>
      <c r="D24" s="892"/>
      <c r="E24" s="909"/>
      <c r="F24" s="910" t="s">
        <v>110</v>
      </c>
      <c r="G24" s="969">
        <v>35</v>
      </c>
      <c r="H24" s="958"/>
      <c r="I24" s="480"/>
      <c r="J24" s="480">
        <v>7</v>
      </c>
      <c r="K24" s="959">
        <v>0.6</v>
      </c>
      <c r="L24" s="480">
        <v>0.6</v>
      </c>
      <c r="M24" s="480">
        <v>2</v>
      </c>
      <c r="N24" s="480">
        <v>22</v>
      </c>
      <c r="O24" s="480">
        <v>29</v>
      </c>
      <c r="P24" s="480"/>
      <c r="Q24" s="480"/>
      <c r="R24" s="480"/>
      <c r="S24" s="617"/>
      <c r="T24" s="472"/>
    </row>
    <row r="25" spans="1:20" s="428" customFormat="1" ht="12.75">
      <c r="A25" s="423"/>
      <c r="B25" s="423"/>
      <c r="C25" s="891" t="s">
        <v>345</v>
      </c>
      <c r="D25" s="892"/>
      <c r="E25" s="909"/>
      <c r="F25" s="910" t="s">
        <v>110</v>
      </c>
      <c r="G25" s="969">
        <v>195</v>
      </c>
      <c r="H25" s="958"/>
      <c r="I25" s="480"/>
      <c r="J25" s="480">
        <v>176</v>
      </c>
      <c r="K25" s="959">
        <v>42</v>
      </c>
      <c r="L25" s="480"/>
      <c r="M25" s="480">
        <v>67</v>
      </c>
      <c r="N25" s="480">
        <v>100</v>
      </c>
      <c r="O25" s="480">
        <v>194</v>
      </c>
      <c r="P25" s="480"/>
      <c r="Q25" s="480"/>
      <c r="R25" s="480"/>
      <c r="S25" s="617"/>
      <c r="T25" s="472"/>
    </row>
    <row r="26" spans="1:20" s="428" customFormat="1" ht="15" customHeight="1">
      <c r="A26" s="423"/>
      <c r="B26" s="423"/>
      <c r="C26" s="891" t="s">
        <v>346</v>
      </c>
      <c r="D26" s="892"/>
      <c r="E26" s="909"/>
      <c r="F26" s="910" t="s">
        <v>110</v>
      </c>
      <c r="G26" s="969">
        <v>0.25</v>
      </c>
      <c r="H26" s="958"/>
      <c r="I26" s="480"/>
      <c r="J26" s="480">
        <v>1.2</v>
      </c>
      <c r="K26" s="959">
        <v>1.5</v>
      </c>
      <c r="L26" s="480">
        <v>0.8</v>
      </c>
      <c r="M26" s="480">
        <v>0.3</v>
      </c>
      <c r="N26" s="480">
        <v>0.25</v>
      </c>
      <c r="O26" s="480">
        <v>0.25</v>
      </c>
      <c r="P26" s="480"/>
      <c r="Q26" s="480"/>
      <c r="R26" s="480"/>
      <c r="S26" s="617"/>
      <c r="T26" s="472"/>
    </row>
    <row r="27" spans="1:20" s="428" customFormat="1" ht="12.75">
      <c r="A27" s="423"/>
      <c r="B27" s="423"/>
      <c r="C27" s="891" t="s">
        <v>363</v>
      </c>
      <c r="D27" s="892"/>
      <c r="E27" s="909"/>
      <c r="F27" s="910" t="s">
        <v>110</v>
      </c>
      <c r="G27" s="969">
        <v>0.5</v>
      </c>
      <c r="H27" s="958"/>
      <c r="I27" s="480"/>
      <c r="J27" s="480">
        <v>12</v>
      </c>
      <c r="K27" s="959">
        <v>36</v>
      </c>
      <c r="L27" s="480">
        <v>45</v>
      </c>
      <c r="M27" s="480">
        <v>25</v>
      </c>
      <c r="N27" s="480">
        <v>12</v>
      </c>
      <c r="O27" s="480">
        <v>0.8</v>
      </c>
      <c r="P27" s="480"/>
      <c r="Q27" s="480"/>
      <c r="R27" s="480"/>
      <c r="S27" s="617"/>
      <c r="T27" s="472"/>
    </row>
    <row r="28" spans="1:22" s="428" customFormat="1" ht="15.75" customHeight="1" thickBot="1">
      <c r="A28" s="423"/>
      <c r="B28" s="423"/>
      <c r="C28" s="895" t="s">
        <v>347</v>
      </c>
      <c r="D28" s="896"/>
      <c r="E28" s="911"/>
      <c r="F28" s="912" t="s">
        <v>110</v>
      </c>
      <c r="G28" s="970">
        <v>0.5</v>
      </c>
      <c r="H28" s="965"/>
      <c r="I28" s="521"/>
      <c r="J28" s="521">
        <v>8</v>
      </c>
      <c r="K28" s="966">
        <v>11</v>
      </c>
      <c r="L28" s="521">
        <v>10</v>
      </c>
      <c r="M28" s="521">
        <v>12</v>
      </c>
      <c r="N28" s="521">
        <v>5</v>
      </c>
      <c r="O28" s="521">
        <v>1</v>
      </c>
      <c r="P28" s="521"/>
      <c r="Q28" s="521"/>
      <c r="R28" s="521"/>
      <c r="S28" s="522"/>
      <c r="T28" s="472"/>
      <c r="V28" s="452"/>
    </row>
    <row r="29" spans="1:22" s="428" customFormat="1" ht="15.75">
      <c r="A29" s="423"/>
      <c r="B29" s="423"/>
      <c r="C29" s="905" t="s">
        <v>422</v>
      </c>
      <c r="D29" s="907"/>
      <c r="E29" s="907"/>
      <c r="F29" s="908" t="s">
        <v>170</v>
      </c>
      <c r="G29" s="968">
        <v>210</v>
      </c>
      <c r="H29" s="956"/>
      <c r="I29" s="508"/>
      <c r="J29" s="508">
        <v>12</v>
      </c>
      <c r="K29" s="957">
        <v>-150</v>
      </c>
      <c r="L29" s="508">
        <v>-167</v>
      </c>
      <c r="M29" s="508">
        <v>-45</v>
      </c>
      <c r="N29" s="508">
        <v>34</v>
      </c>
      <c r="O29" s="508">
        <v>190</v>
      </c>
      <c r="P29" s="508"/>
      <c r="Q29" s="508"/>
      <c r="R29" s="508"/>
      <c r="S29" s="616"/>
      <c r="T29" s="472"/>
      <c r="V29" s="452"/>
    </row>
    <row r="30" spans="1:22" s="428" customFormat="1" ht="15.75">
      <c r="A30" s="423"/>
      <c r="B30" s="423"/>
      <c r="C30" s="891" t="s">
        <v>113</v>
      </c>
      <c r="D30" s="909"/>
      <c r="E30" s="909"/>
      <c r="F30" s="910" t="s">
        <v>110</v>
      </c>
      <c r="G30" s="969"/>
      <c r="H30" s="958"/>
      <c r="I30" s="480"/>
      <c r="J30" s="480"/>
      <c r="K30" s="959"/>
      <c r="L30" s="480"/>
      <c r="M30" s="480"/>
      <c r="N30" s="480"/>
      <c r="O30" s="480"/>
      <c r="P30" s="480"/>
      <c r="Q30" s="480"/>
      <c r="R30" s="480"/>
      <c r="S30" s="617"/>
      <c r="T30" s="472"/>
      <c r="V30" s="452"/>
    </row>
    <row r="31" spans="1:22" s="428" customFormat="1" ht="16.5" thickBot="1">
      <c r="A31" s="423"/>
      <c r="B31" s="423"/>
      <c r="C31" s="895" t="s">
        <v>111</v>
      </c>
      <c r="D31" s="911"/>
      <c r="E31" s="911"/>
      <c r="F31" s="912" t="s">
        <v>2</v>
      </c>
      <c r="G31" s="970"/>
      <c r="H31" s="965"/>
      <c r="I31" s="521"/>
      <c r="J31" s="521"/>
      <c r="K31" s="966"/>
      <c r="L31" s="521"/>
      <c r="M31" s="521"/>
      <c r="N31" s="521"/>
      <c r="O31" s="521"/>
      <c r="P31" s="521"/>
      <c r="Q31" s="521"/>
      <c r="R31" s="521"/>
      <c r="S31" s="522"/>
      <c r="T31" s="472"/>
      <c r="V31" s="452"/>
    </row>
    <row r="32" spans="1:22" s="428" customFormat="1" ht="3.75" customHeight="1">
      <c r="A32" s="423"/>
      <c r="B32" s="423"/>
      <c r="C32" s="423"/>
      <c r="D32" s="423"/>
      <c r="E32" s="423"/>
      <c r="F32" s="453"/>
      <c r="G32" s="423"/>
      <c r="H32" s="423"/>
      <c r="I32" s="423"/>
      <c r="J32" s="423"/>
      <c r="K32" s="423"/>
      <c r="L32" s="423"/>
      <c r="M32" s="423"/>
      <c r="N32" s="423"/>
      <c r="O32" s="423"/>
      <c r="P32" s="423"/>
      <c r="Q32" s="423"/>
      <c r="R32" s="423"/>
      <c r="S32" s="423"/>
      <c r="T32" s="472"/>
      <c r="V32" s="452"/>
    </row>
    <row r="33" spans="1:20" s="428" customFormat="1" ht="9" customHeight="1" hidden="1" thickBot="1">
      <c r="A33" s="423"/>
      <c r="B33" s="423"/>
      <c r="C33" s="423"/>
      <c r="D33" s="423"/>
      <c r="E33" s="423"/>
      <c r="F33" s="453"/>
      <c r="G33" s="423"/>
      <c r="H33" s="423"/>
      <c r="I33" s="423"/>
      <c r="J33" s="423"/>
      <c r="K33" s="423"/>
      <c r="L33" s="423"/>
      <c r="M33" s="423"/>
      <c r="N33" s="423"/>
      <c r="O33" s="423"/>
      <c r="P33" s="423"/>
      <c r="Q33" s="423"/>
      <c r="R33" s="423"/>
      <c r="S33" s="423"/>
      <c r="T33" s="472"/>
    </row>
    <row r="34" spans="1:20" s="428" customFormat="1" ht="14.25">
      <c r="A34" s="423"/>
      <c r="B34" s="423"/>
      <c r="C34" s="636" t="s">
        <v>405</v>
      </c>
      <c r="D34" s="423"/>
      <c r="E34" s="423"/>
      <c r="F34" s="453"/>
      <c r="G34" s="423"/>
      <c r="H34" s="423"/>
      <c r="I34" s="423"/>
      <c r="J34" s="423"/>
      <c r="K34" s="423"/>
      <c r="L34" s="423"/>
      <c r="M34" s="423"/>
      <c r="N34" s="423"/>
      <c r="O34" s="423"/>
      <c r="P34" s="423"/>
      <c r="Q34" s="423"/>
      <c r="R34" s="423"/>
      <c r="S34" s="423"/>
      <c r="T34" s="472"/>
    </row>
    <row r="35" spans="1:20" s="428" customFormat="1" ht="16.5" thickBot="1">
      <c r="A35" s="423"/>
      <c r="B35" s="423"/>
      <c r="C35" s="423" t="s">
        <v>354</v>
      </c>
      <c r="D35" s="423"/>
      <c r="E35" s="423"/>
      <c r="F35" s="453"/>
      <c r="G35" s="1166" t="s">
        <v>29</v>
      </c>
      <c r="H35" s="1167"/>
      <c r="I35" s="423"/>
      <c r="J35" s="423"/>
      <c r="K35" s="423"/>
      <c r="L35" s="423"/>
      <c r="M35" s="423"/>
      <c r="N35" s="423"/>
      <c r="O35" s="423"/>
      <c r="P35" s="423"/>
      <c r="Q35" s="423"/>
      <c r="R35" s="423"/>
      <c r="S35" s="423"/>
      <c r="T35" s="472"/>
    </row>
    <row r="36" spans="1:20" s="428" customFormat="1" ht="15.75">
      <c r="A36" s="423"/>
      <c r="B36" s="423"/>
      <c r="C36" s="795" t="s">
        <v>171</v>
      </c>
      <c r="D36" s="796"/>
      <c r="E36" s="796"/>
      <c r="F36" s="796"/>
      <c r="G36" s="796"/>
      <c r="H36" s="796"/>
      <c r="I36" s="796"/>
      <c r="J36" s="796"/>
      <c r="K36" s="796"/>
      <c r="L36" s="796"/>
      <c r="M36" s="796"/>
      <c r="N36" s="796"/>
      <c r="O36" s="796"/>
      <c r="P36" s="796"/>
      <c r="Q36" s="796"/>
      <c r="R36" s="796"/>
      <c r="S36" s="797"/>
      <c r="T36" s="472"/>
    </row>
    <row r="37" spans="1:20" s="428" customFormat="1" ht="13.5" thickBot="1">
      <c r="A37" s="423"/>
      <c r="B37" s="423"/>
      <c r="C37" s="884"/>
      <c r="D37" s="885"/>
      <c r="E37" s="885"/>
      <c r="F37" s="886" t="s">
        <v>0</v>
      </c>
      <c r="G37" s="971" t="s">
        <v>172</v>
      </c>
      <c r="H37" s="972" t="str">
        <f>H22</f>
        <v>NA</v>
      </c>
      <c r="I37" s="973" t="str">
        <f aca="true" t="shared" si="1" ref="I37:S37">I22</f>
        <v>NA</v>
      </c>
      <c r="J37" s="973" t="str">
        <f t="shared" si="1"/>
        <v>UG-1</v>
      </c>
      <c r="K37" s="974" t="str">
        <f t="shared" si="1"/>
        <v>MW-1</v>
      </c>
      <c r="L37" s="973" t="str">
        <f t="shared" si="1"/>
        <v>MW2</v>
      </c>
      <c r="M37" s="973" t="str">
        <f t="shared" si="1"/>
        <v>MW4</v>
      </c>
      <c r="N37" s="973" t="str">
        <f t="shared" si="1"/>
        <v>MW6</v>
      </c>
      <c r="O37" s="973" t="str">
        <f t="shared" si="1"/>
        <v>MW8</v>
      </c>
      <c r="P37" s="973" t="str">
        <f t="shared" si="1"/>
        <v>NA</v>
      </c>
      <c r="Q37" s="973" t="str">
        <f t="shared" si="1"/>
        <v>NA</v>
      </c>
      <c r="R37" s="973" t="str">
        <f t="shared" si="1"/>
        <v>NA</v>
      </c>
      <c r="S37" s="975" t="str">
        <f t="shared" si="1"/>
        <v>NA</v>
      </c>
      <c r="T37" s="472"/>
    </row>
    <row r="38" spans="1:20" s="428" customFormat="1" ht="13.5" thickTop="1">
      <c r="A38" s="423"/>
      <c r="B38" s="423"/>
      <c r="C38" s="887" t="str">
        <f aca="true" t="shared" si="2" ref="C38:C43">C23</f>
        <v>Dissolved Oxygen</v>
      </c>
      <c r="D38" s="888" t="s">
        <v>114</v>
      </c>
      <c r="E38" s="889"/>
      <c r="F38" s="890" t="s">
        <v>110</v>
      </c>
      <c r="G38" s="976">
        <f>VLOOKUP($G$35,chemlist,8,FALSE)</f>
        <v>0</v>
      </c>
      <c r="H38" s="1037" t="str">
        <f aca="true" t="shared" si="3" ref="H38:S38">IF(ISBLANK(H23),"N/A",$G$38*($G$23-H23))</f>
        <v>N/A</v>
      </c>
      <c r="I38" s="1038" t="str">
        <f t="shared" si="3"/>
        <v>N/A</v>
      </c>
      <c r="J38" s="1038">
        <f t="shared" si="3"/>
        <v>0</v>
      </c>
      <c r="K38" s="1039">
        <f t="shared" si="3"/>
        <v>0</v>
      </c>
      <c r="L38" s="1038">
        <f t="shared" si="3"/>
        <v>0</v>
      </c>
      <c r="M38" s="1038">
        <f t="shared" si="3"/>
        <v>0</v>
      </c>
      <c r="N38" s="1038">
        <f t="shared" si="3"/>
        <v>0</v>
      </c>
      <c r="O38" s="1038">
        <f t="shared" si="3"/>
        <v>0</v>
      </c>
      <c r="P38" s="1038" t="str">
        <f t="shared" si="3"/>
        <v>N/A</v>
      </c>
      <c r="Q38" s="1038" t="str">
        <f t="shared" si="3"/>
        <v>N/A</v>
      </c>
      <c r="R38" s="1038" t="str">
        <f t="shared" si="3"/>
        <v>N/A</v>
      </c>
      <c r="S38" s="1040" t="str">
        <f t="shared" si="3"/>
        <v>N/A</v>
      </c>
      <c r="T38" s="472"/>
    </row>
    <row r="39" spans="1:20" s="428" customFormat="1" ht="12.75">
      <c r="A39" s="423"/>
      <c r="B39" s="423"/>
      <c r="C39" s="891" t="str">
        <f t="shared" si="2"/>
        <v>Nitrate</v>
      </c>
      <c r="D39" s="892" t="s">
        <v>114</v>
      </c>
      <c r="E39" s="893"/>
      <c r="F39" s="894" t="s">
        <v>110</v>
      </c>
      <c r="G39" s="977">
        <f>VLOOKUP($G$35,chemlist,9,FALSE)</f>
        <v>0</v>
      </c>
      <c r="H39" s="1041" t="str">
        <f aca="true" t="shared" si="4" ref="H39:S39">IF(ISBLANK(H24),"N/A",$G$39*($G$24-H24))</f>
        <v>N/A</v>
      </c>
      <c r="I39" s="1042" t="str">
        <f t="shared" si="4"/>
        <v>N/A</v>
      </c>
      <c r="J39" s="1042">
        <f t="shared" si="4"/>
        <v>0</v>
      </c>
      <c r="K39" s="1043">
        <f t="shared" si="4"/>
        <v>0</v>
      </c>
      <c r="L39" s="1042">
        <f t="shared" si="4"/>
        <v>0</v>
      </c>
      <c r="M39" s="1042">
        <f t="shared" si="4"/>
        <v>0</v>
      </c>
      <c r="N39" s="1042">
        <f t="shared" si="4"/>
        <v>0</v>
      </c>
      <c r="O39" s="1042">
        <f t="shared" si="4"/>
        <v>0</v>
      </c>
      <c r="P39" s="1042" t="str">
        <f t="shared" si="4"/>
        <v>N/A</v>
      </c>
      <c r="Q39" s="1042" t="str">
        <f t="shared" si="4"/>
        <v>N/A</v>
      </c>
      <c r="R39" s="1042" t="str">
        <f t="shared" si="4"/>
        <v>N/A</v>
      </c>
      <c r="S39" s="1044" t="str">
        <f t="shared" si="4"/>
        <v>N/A</v>
      </c>
      <c r="T39" s="472"/>
    </row>
    <row r="40" spans="1:20" s="428" customFormat="1" ht="12.75">
      <c r="A40" s="423"/>
      <c r="B40" s="423"/>
      <c r="C40" s="891" t="str">
        <f t="shared" si="2"/>
        <v>Sulfate</v>
      </c>
      <c r="D40" s="892" t="s">
        <v>114</v>
      </c>
      <c r="E40" s="893"/>
      <c r="F40" s="894" t="s">
        <v>110</v>
      </c>
      <c r="G40" s="977">
        <f>VLOOKUP($G$35,chemlist,12,FALSE)</f>
        <v>0</v>
      </c>
      <c r="H40" s="1041" t="str">
        <f aca="true" t="shared" si="5" ref="H40:S40">IF(ISBLANK(H25),"N/A",$G$40*($G$25-H25))</f>
        <v>N/A</v>
      </c>
      <c r="I40" s="1042" t="str">
        <f t="shared" si="5"/>
        <v>N/A</v>
      </c>
      <c r="J40" s="1042">
        <f t="shared" si="5"/>
        <v>0</v>
      </c>
      <c r="K40" s="1043">
        <f t="shared" si="5"/>
        <v>0</v>
      </c>
      <c r="L40" s="1042" t="str">
        <f t="shared" si="5"/>
        <v>N/A</v>
      </c>
      <c r="M40" s="1042">
        <f t="shared" si="5"/>
        <v>0</v>
      </c>
      <c r="N40" s="1042">
        <f t="shared" si="5"/>
        <v>0</v>
      </c>
      <c r="O40" s="1042">
        <f t="shared" si="5"/>
        <v>0</v>
      </c>
      <c r="P40" s="1042" t="str">
        <f t="shared" si="5"/>
        <v>N/A</v>
      </c>
      <c r="Q40" s="1042" t="str">
        <f t="shared" si="5"/>
        <v>N/A</v>
      </c>
      <c r="R40" s="1042" t="str">
        <f t="shared" si="5"/>
        <v>N/A</v>
      </c>
      <c r="S40" s="1044" t="str">
        <f t="shared" si="5"/>
        <v>N/A</v>
      </c>
      <c r="T40" s="472"/>
    </row>
    <row r="41" spans="1:20" s="428" customFormat="1" ht="12.75">
      <c r="A41" s="423"/>
      <c r="B41" s="423"/>
      <c r="C41" s="891" t="str">
        <f t="shared" si="2"/>
        <v>Manganese</v>
      </c>
      <c r="D41" s="892" t="s">
        <v>115</v>
      </c>
      <c r="E41" s="893"/>
      <c r="F41" s="894" t="s">
        <v>110</v>
      </c>
      <c r="G41" s="977">
        <f>VLOOKUP($G$35,chemlist,10,FALSE)</f>
        <v>0</v>
      </c>
      <c r="H41" s="1041" t="str">
        <f aca="true" t="shared" si="6" ref="H41:S41">IF(ISBLANK(H26),"N/A",$G$41*(H26-$G$26))</f>
        <v>N/A</v>
      </c>
      <c r="I41" s="1042" t="str">
        <f t="shared" si="6"/>
        <v>N/A</v>
      </c>
      <c r="J41" s="1042">
        <f t="shared" si="6"/>
        <v>0</v>
      </c>
      <c r="K41" s="1043">
        <f t="shared" si="6"/>
        <v>0</v>
      </c>
      <c r="L41" s="1042">
        <f t="shared" si="6"/>
        <v>0</v>
      </c>
      <c r="M41" s="1042">
        <f t="shared" si="6"/>
        <v>0</v>
      </c>
      <c r="N41" s="1042">
        <f t="shared" si="6"/>
        <v>0</v>
      </c>
      <c r="O41" s="1042">
        <f t="shared" si="6"/>
        <v>0</v>
      </c>
      <c r="P41" s="1042" t="str">
        <f t="shared" si="6"/>
        <v>N/A</v>
      </c>
      <c r="Q41" s="1042" t="str">
        <f t="shared" si="6"/>
        <v>N/A</v>
      </c>
      <c r="R41" s="1042" t="str">
        <f t="shared" si="6"/>
        <v>N/A</v>
      </c>
      <c r="S41" s="1044" t="str">
        <f t="shared" si="6"/>
        <v>N/A</v>
      </c>
      <c r="T41" s="472"/>
    </row>
    <row r="42" spans="1:20" s="428" customFormat="1" ht="12.75">
      <c r="A42" s="423"/>
      <c r="B42" s="423"/>
      <c r="C42" s="891" t="str">
        <f t="shared" si="2"/>
        <v>Ferrous Iron</v>
      </c>
      <c r="D42" s="892" t="s">
        <v>115</v>
      </c>
      <c r="E42" s="893"/>
      <c r="F42" s="894" t="s">
        <v>110</v>
      </c>
      <c r="G42" s="977">
        <f>VLOOKUP($G$35,chemlist,11,FALSE)</f>
        <v>0</v>
      </c>
      <c r="H42" s="1041" t="str">
        <f aca="true" t="shared" si="7" ref="H42:S42">IF(ISBLANK(H27),"N/A",$G$42*(H27-$G$27))</f>
        <v>N/A</v>
      </c>
      <c r="I42" s="1042" t="str">
        <f t="shared" si="7"/>
        <v>N/A</v>
      </c>
      <c r="J42" s="1042">
        <f t="shared" si="7"/>
        <v>0</v>
      </c>
      <c r="K42" s="1043">
        <f t="shared" si="7"/>
        <v>0</v>
      </c>
      <c r="L42" s="1042">
        <f t="shared" si="7"/>
        <v>0</v>
      </c>
      <c r="M42" s="1042">
        <f t="shared" si="7"/>
        <v>0</v>
      </c>
      <c r="N42" s="1042">
        <f t="shared" si="7"/>
        <v>0</v>
      </c>
      <c r="O42" s="1042">
        <f t="shared" si="7"/>
        <v>0</v>
      </c>
      <c r="P42" s="1042" t="str">
        <f t="shared" si="7"/>
        <v>N/A</v>
      </c>
      <c r="Q42" s="1042" t="str">
        <f t="shared" si="7"/>
        <v>N/A</v>
      </c>
      <c r="R42" s="1042" t="str">
        <f t="shared" si="7"/>
        <v>N/A</v>
      </c>
      <c r="S42" s="1044" t="str">
        <f t="shared" si="7"/>
        <v>N/A</v>
      </c>
      <c r="T42" s="472"/>
    </row>
    <row r="43" spans="1:20" s="428" customFormat="1" ht="13.5" thickBot="1">
      <c r="A43" s="423"/>
      <c r="B43" s="423"/>
      <c r="C43" s="895" t="str">
        <f t="shared" si="2"/>
        <v>Methane</v>
      </c>
      <c r="D43" s="896" t="s">
        <v>115</v>
      </c>
      <c r="E43" s="897"/>
      <c r="F43" s="898" t="s">
        <v>110</v>
      </c>
      <c r="G43" s="978">
        <f>VLOOKUP($G$35,chemlist,13,FALSE)</f>
        <v>0</v>
      </c>
      <c r="H43" s="1045" t="str">
        <f aca="true" t="shared" si="8" ref="H43:S43">IF(ISBLANK(H28),"N/A",$G$43*(H28-$G$28))</f>
        <v>N/A</v>
      </c>
      <c r="I43" s="1046" t="str">
        <f t="shared" si="8"/>
        <v>N/A</v>
      </c>
      <c r="J43" s="1046">
        <f t="shared" si="8"/>
        <v>0</v>
      </c>
      <c r="K43" s="1047">
        <f t="shared" si="8"/>
        <v>0</v>
      </c>
      <c r="L43" s="1046">
        <f t="shared" si="8"/>
        <v>0</v>
      </c>
      <c r="M43" s="1046">
        <f t="shared" si="8"/>
        <v>0</v>
      </c>
      <c r="N43" s="1046">
        <f t="shared" si="8"/>
        <v>0</v>
      </c>
      <c r="O43" s="1046">
        <f t="shared" si="8"/>
        <v>0</v>
      </c>
      <c r="P43" s="1046" t="str">
        <f t="shared" si="8"/>
        <v>N/A</v>
      </c>
      <c r="Q43" s="1046" t="str">
        <f t="shared" si="8"/>
        <v>N/A</v>
      </c>
      <c r="R43" s="1046" t="str">
        <f t="shared" si="8"/>
        <v>N/A</v>
      </c>
      <c r="S43" s="1048" t="str">
        <f t="shared" si="8"/>
        <v>N/A</v>
      </c>
      <c r="T43" s="472"/>
    </row>
    <row r="44" spans="1:20" s="428" customFormat="1" ht="13.5" thickBot="1">
      <c r="A44" s="423"/>
      <c r="B44" s="423"/>
      <c r="C44" s="899" t="s">
        <v>126</v>
      </c>
      <c r="D44" s="900"/>
      <c r="E44" s="900"/>
      <c r="F44" s="901" t="s">
        <v>110</v>
      </c>
      <c r="G44" s="979"/>
      <c r="H44" s="1049" t="str">
        <f>IF(SUM(H38:H43)=0,"N/A",SUM(H38:H43))</f>
        <v>N/A</v>
      </c>
      <c r="I44" s="1053" t="str">
        <f>IF(SUM(I38:I43)=0,"N/A",SUM(I38:I43))</f>
        <v>N/A</v>
      </c>
      <c r="J44" s="1053" t="str">
        <f aca="true" t="shared" si="9" ref="J44:S44">IF(SUM(J38:J43)=0,"N/A",SUM(J38:J43))</f>
        <v>N/A</v>
      </c>
      <c r="K44" s="1053" t="str">
        <f t="shared" si="9"/>
        <v>N/A</v>
      </c>
      <c r="L44" s="1053" t="str">
        <f t="shared" si="9"/>
        <v>N/A</v>
      </c>
      <c r="M44" s="1053" t="str">
        <f t="shared" si="9"/>
        <v>N/A</v>
      </c>
      <c r="N44" s="1053" t="str">
        <f t="shared" si="9"/>
        <v>N/A</v>
      </c>
      <c r="O44" s="1053" t="str">
        <f t="shared" si="9"/>
        <v>N/A</v>
      </c>
      <c r="P44" s="1053" t="str">
        <f t="shared" si="9"/>
        <v>N/A</v>
      </c>
      <c r="Q44" s="1053" t="str">
        <f t="shared" si="9"/>
        <v>N/A</v>
      </c>
      <c r="R44" s="1053" t="str">
        <f t="shared" si="9"/>
        <v>N/A</v>
      </c>
      <c r="S44" s="1050" t="str">
        <f t="shared" si="9"/>
        <v>N/A</v>
      </c>
      <c r="T44" s="472"/>
    </row>
    <row r="45" spans="1:20" s="428" customFormat="1" ht="2.25" customHeight="1">
      <c r="A45" s="423"/>
      <c r="B45" s="423"/>
      <c r="C45" s="423"/>
      <c r="D45" s="423"/>
      <c r="E45" s="423"/>
      <c r="F45" s="453"/>
      <c r="G45" s="423"/>
      <c r="H45" s="423"/>
      <c r="I45" s="423"/>
      <c r="J45" s="423"/>
      <c r="K45" s="423"/>
      <c r="L45" s="423"/>
      <c r="M45" s="423"/>
      <c r="N45" s="423"/>
      <c r="O45" s="423"/>
      <c r="P45" s="423"/>
      <c r="Q45" s="423"/>
      <c r="R45" s="423"/>
      <c r="S45" s="423"/>
      <c r="T45" s="472"/>
    </row>
    <row r="46" spans="1:20" s="428" customFormat="1" ht="2.25" customHeight="1" hidden="1">
      <c r="A46" s="423"/>
      <c r="B46" s="423"/>
      <c r="C46" s="423"/>
      <c r="D46" s="423"/>
      <c r="E46" s="423"/>
      <c r="F46" s="453"/>
      <c r="G46" s="423"/>
      <c r="H46" s="423"/>
      <c r="I46" s="423"/>
      <c r="J46" s="423"/>
      <c r="K46" s="423"/>
      <c r="L46" s="423"/>
      <c r="M46" s="423"/>
      <c r="N46" s="423"/>
      <c r="O46" s="423"/>
      <c r="P46" s="423"/>
      <c r="Q46" s="423"/>
      <c r="R46" s="423"/>
      <c r="S46" s="423"/>
      <c r="T46" s="472"/>
    </row>
    <row r="47" spans="1:20" s="428" customFormat="1" ht="13.5" customHeight="1">
      <c r="A47" s="423"/>
      <c r="B47" s="423"/>
      <c r="C47" s="636" t="s">
        <v>355</v>
      </c>
      <c r="D47" s="423"/>
      <c r="E47" s="423"/>
      <c r="F47" s="453"/>
      <c r="G47" s="423"/>
      <c r="H47" s="423"/>
      <c r="I47" s="423"/>
      <c r="J47" s="423"/>
      <c r="K47" s="423"/>
      <c r="L47" s="423"/>
      <c r="M47" s="423"/>
      <c r="N47" s="423"/>
      <c r="O47" s="423"/>
      <c r="P47" s="423"/>
      <c r="Q47" s="423"/>
      <c r="R47" s="423"/>
      <c r="S47" s="423"/>
      <c r="T47" s="472"/>
    </row>
    <row r="48" spans="1:20" s="428" customFormat="1" ht="12.75">
      <c r="A48" s="423"/>
      <c r="B48" s="423"/>
      <c r="C48" s="423" t="s">
        <v>403</v>
      </c>
      <c r="D48" s="423"/>
      <c r="E48" s="423"/>
      <c r="F48" s="453"/>
      <c r="G48" s="1165" t="s">
        <v>25</v>
      </c>
      <c r="H48" s="1165"/>
      <c r="I48" s="423"/>
      <c r="J48" s="423"/>
      <c r="K48" s="423"/>
      <c r="L48" s="423"/>
      <c r="M48" s="423"/>
      <c r="N48" s="423"/>
      <c r="O48" s="423"/>
      <c r="P48" s="423"/>
      <c r="Q48" s="423"/>
      <c r="R48" s="423"/>
      <c r="S48" s="423"/>
      <c r="T48" s="472"/>
    </row>
    <row r="49" spans="1:20" s="428" customFormat="1" ht="12.75">
      <c r="A49" s="423"/>
      <c r="B49" s="423"/>
      <c r="C49" s="423" t="s">
        <v>370</v>
      </c>
      <c r="D49" s="423"/>
      <c r="E49" s="423"/>
      <c r="F49" s="453"/>
      <c r="G49" s="1165" t="s">
        <v>348</v>
      </c>
      <c r="H49" s="1165"/>
      <c r="I49" s="423"/>
      <c r="J49" s="423"/>
      <c r="K49" s="423"/>
      <c r="L49" s="423"/>
      <c r="M49" s="423"/>
      <c r="N49" s="423"/>
      <c r="O49" s="423"/>
      <c r="P49" s="423"/>
      <c r="Q49" s="423"/>
      <c r="R49" s="423"/>
      <c r="S49" s="423"/>
      <c r="T49" s="472"/>
    </row>
    <row r="50" spans="1:20" s="428" customFormat="1" ht="10.5" customHeight="1">
      <c r="A50" s="423"/>
      <c r="B50" s="423"/>
      <c r="C50" s="423" t="s">
        <v>370</v>
      </c>
      <c r="D50" s="423"/>
      <c r="E50" s="423"/>
      <c r="F50" s="453"/>
      <c r="G50" s="1165" t="s">
        <v>346</v>
      </c>
      <c r="H50" s="1165"/>
      <c r="I50" s="423"/>
      <c r="J50" s="423"/>
      <c r="K50" s="423"/>
      <c r="L50" s="423"/>
      <c r="M50" s="423"/>
      <c r="N50" s="423"/>
      <c r="O50" s="423"/>
      <c r="P50" s="423"/>
      <c r="Q50" s="423"/>
      <c r="R50" s="423"/>
      <c r="S50" s="423"/>
      <c r="T50" s="472"/>
    </row>
    <row r="51" spans="1:20" s="428" customFormat="1" ht="12.75">
      <c r="A51" s="423"/>
      <c r="B51" s="423"/>
      <c r="C51" s="423"/>
      <c r="D51" s="423"/>
      <c r="E51" s="423"/>
      <c r="F51" s="453"/>
      <c r="G51" s="423"/>
      <c r="H51" s="423"/>
      <c r="I51" s="423"/>
      <c r="J51" s="423"/>
      <c r="K51" s="423"/>
      <c r="L51" s="423"/>
      <c r="M51" s="423"/>
      <c r="N51" s="423"/>
      <c r="O51" s="423"/>
      <c r="P51" s="423"/>
      <c r="Q51" s="423"/>
      <c r="R51" s="423"/>
      <c r="S51" s="423"/>
      <c r="T51" s="472"/>
    </row>
    <row r="52" spans="1:20" s="428" customFormat="1" ht="12.75">
      <c r="A52" s="423"/>
      <c r="B52" s="423"/>
      <c r="C52" s="423"/>
      <c r="D52" s="423"/>
      <c r="E52" s="423"/>
      <c r="F52" s="423"/>
      <c r="G52" s="423"/>
      <c r="H52" s="423"/>
      <c r="I52" s="423"/>
      <c r="J52" s="423"/>
      <c r="K52" s="423"/>
      <c r="L52" s="423"/>
      <c r="M52" s="423"/>
      <c r="N52" s="423"/>
      <c r="O52" s="423"/>
      <c r="P52" s="423"/>
      <c r="Q52" s="423"/>
      <c r="R52" s="423"/>
      <c r="S52" s="423"/>
      <c r="T52" s="472"/>
    </row>
    <row r="53" spans="1:20" s="428" customFormat="1" ht="12.75">
      <c r="A53" s="423"/>
      <c r="B53" s="423"/>
      <c r="C53" s="423"/>
      <c r="D53" s="423"/>
      <c r="E53" s="423"/>
      <c r="F53" s="423"/>
      <c r="G53" s="423"/>
      <c r="H53" s="423"/>
      <c r="I53" s="423"/>
      <c r="J53" s="423"/>
      <c r="K53" s="423"/>
      <c r="L53" s="423"/>
      <c r="M53" s="423"/>
      <c r="N53" s="423"/>
      <c r="O53" s="423"/>
      <c r="P53" s="423"/>
      <c r="Q53" s="423"/>
      <c r="R53" s="423"/>
      <c r="S53" s="423"/>
      <c r="T53" s="472"/>
    </row>
    <row r="54" spans="1:20" s="428" customFormat="1" ht="12.75">
      <c r="A54" s="423"/>
      <c r="B54" s="423"/>
      <c r="C54" s="423"/>
      <c r="D54" s="423"/>
      <c r="E54" s="423"/>
      <c r="F54" s="423"/>
      <c r="G54" s="423"/>
      <c r="H54" s="423"/>
      <c r="I54" s="423"/>
      <c r="J54" s="423"/>
      <c r="K54" s="423"/>
      <c r="L54" s="423"/>
      <c r="M54" s="423"/>
      <c r="N54" s="423"/>
      <c r="O54" s="423"/>
      <c r="P54" s="423"/>
      <c r="Q54" s="423"/>
      <c r="R54" s="423"/>
      <c r="S54" s="423"/>
      <c r="T54" s="472"/>
    </row>
    <row r="55" spans="1:20" s="428" customFormat="1" ht="12.75">
      <c r="A55" s="423"/>
      <c r="B55" s="423"/>
      <c r="C55" s="423"/>
      <c r="D55" s="423"/>
      <c r="E55" s="423"/>
      <c r="F55" s="423"/>
      <c r="G55" s="423"/>
      <c r="H55" s="423"/>
      <c r="I55" s="423"/>
      <c r="J55" s="423"/>
      <c r="K55" s="423"/>
      <c r="L55" s="423"/>
      <c r="M55" s="423"/>
      <c r="N55" s="423"/>
      <c r="O55" s="423"/>
      <c r="P55" s="423"/>
      <c r="Q55" s="423"/>
      <c r="R55" s="423"/>
      <c r="S55" s="423"/>
      <c r="T55" s="472"/>
    </row>
    <row r="56" spans="1:20" s="428" customFormat="1" ht="12.75">
      <c r="A56" s="423"/>
      <c r="B56" s="423"/>
      <c r="C56" s="423"/>
      <c r="D56" s="423"/>
      <c r="E56" s="423"/>
      <c r="F56" s="423"/>
      <c r="G56" s="423"/>
      <c r="H56" s="423"/>
      <c r="I56" s="423"/>
      <c r="J56" s="423"/>
      <c r="K56" s="423"/>
      <c r="L56" s="423"/>
      <c r="M56" s="423"/>
      <c r="N56" s="423"/>
      <c r="O56" s="423"/>
      <c r="P56" s="423"/>
      <c r="Q56" s="423"/>
      <c r="R56" s="423"/>
      <c r="S56" s="423"/>
      <c r="T56" s="472"/>
    </row>
    <row r="57" spans="1:20" s="428" customFormat="1" ht="12.75">
      <c r="A57" s="423"/>
      <c r="B57" s="423"/>
      <c r="C57" s="461"/>
      <c r="D57" s="423"/>
      <c r="E57" s="423"/>
      <c r="F57" s="453"/>
      <c r="G57" s="423"/>
      <c r="H57" s="423"/>
      <c r="I57" s="423"/>
      <c r="J57" s="423"/>
      <c r="K57" s="423"/>
      <c r="L57" s="423"/>
      <c r="M57" s="423"/>
      <c r="N57" s="423"/>
      <c r="O57" s="423"/>
      <c r="P57" s="423"/>
      <c r="Q57" s="423"/>
      <c r="R57" s="423"/>
      <c r="S57" s="423"/>
      <c r="T57" s="472"/>
    </row>
    <row r="58" spans="1:20" s="428" customFormat="1" ht="12.75">
      <c r="A58" s="423"/>
      <c r="B58" s="423"/>
      <c r="C58" s="423"/>
      <c r="D58" s="423"/>
      <c r="E58" s="423"/>
      <c r="F58" s="453"/>
      <c r="G58" s="423"/>
      <c r="H58" s="460"/>
      <c r="I58" s="460"/>
      <c r="J58" s="460"/>
      <c r="K58" s="460"/>
      <c r="L58" s="460"/>
      <c r="M58" s="460"/>
      <c r="N58" s="460"/>
      <c r="O58" s="460"/>
      <c r="P58" s="460"/>
      <c r="Q58" s="460"/>
      <c r="R58" s="460"/>
      <c r="S58" s="460"/>
      <c r="T58" s="472"/>
    </row>
    <row r="59" spans="1:20" s="428" customFormat="1" ht="12.75">
      <c r="A59" s="423"/>
      <c r="B59" s="423"/>
      <c r="C59" s="423"/>
      <c r="D59" s="423"/>
      <c r="E59" s="423"/>
      <c r="F59" s="453"/>
      <c r="G59" s="423"/>
      <c r="H59" s="423"/>
      <c r="I59" s="423"/>
      <c r="J59" s="423"/>
      <c r="K59" s="423"/>
      <c r="L59" s="423"/>
      <c r="M59" s="423"/>
      <c r="N59" s="423"/>
      <c r="O59" s="423"/>
      <c r="P59" s="423"/>
      <c r="Q59" s="423"/>
      <c r="R59" s="423"/>
      <c r="S59" s="423"/>
      <c r="T59" s="472"/>
    </row>
    <row r="60" spans="1:20" s="428" customFormat="1" ht="12.75">
      <c r="A60" s="423"/>
      <c r="B60" s="423"/>
      <c r="C60" s="423"/>
      <c r="D60" s="423"/>
      <c r="E60" s="423"/>
      <c r="F60" s="453"/>
      <c r="G60" s="423"/>
      <c r="H60" s="423"/>
      <c r="I60" s="423"/>
      <c r="J60" s="423"/>
      <c r="K60" s="423"/>
      <c r="L60" s="423"/>
      <c r="M60" s="423"/>
      <c r="N60" s="423"/>
      <c r="O60" s="423"/>
      <c r="P60" s="423"/>
      <c r="Q60" s="423"/>
      <c r="R60" s="423"/>
      <c r="S60" s="423"/>
      <c r="T60" s="472"/>
    </row>
    <row r="61" spans="1:20" s="428" customFormat="1" ht="12.75">
      <c r="A61" s="423"/>
      <c r="B61" s="423"/>
      <c r="C61" s="423"/>
      <c r="D61" s="423"/>
      <c r="E61" s="423"/>
      <c r="F61" s="453"/>
      <c r="G61" s="423"/>
      <c r="H61" s="423"/>
      <c r="I61" s="423"/>
      <c r="J61" s="423"/>
      <c r="K61" s="423"/>
      <c r="L61" s="423"/>
      <c r="M61" s="423"/>
      <c r="N61" s="423"/>
      <c r="O61" s="423"/>
      <c r="P61" s="423"/>
      <c r="Q61" s="423"/>
      <c r="R61" s="423"/>
      <c r="S61" s="423"/>
      <c r="T61" s="472"/>
    </row>
    <row r="62" spans="1:20" s="428" customFormat="1" ht="12.75">
      <c r="A62" s="423"/>
      <c r="B62" s="423"/>
      <c r="C62" s="423"/>
      <c r="D62" s="423"/>
      <c r="E62" s="423"/>
      <c r="F62" s="453"/>
      <c r="G62" s="423"/>
      <c r="H62" s="423"/>
      <c r="I62" s="423"/>
      <c r="J62" s="423"/>
      <c r="K62" s="423"/>
      <c r="L62" s="423"/>
      <c r="M62" s="423"/>
      <c r="N62" s="423"/>
      <c r="O62" s="423"/>
      <c r="P62" s="423"/>
      <c r="Q62" s="423"/>
      <c r="R62" s="423"/>
      <c r="S62" s="423"/>
      <c r="T62" s="472"/>
    </row>
    <row r="63" spans="1:20" s="428" customFormat="1" ht="12.75">
      <c r="A63" s="423"/>
      <c r="B63" s="423"/>
      <c r="C63" s="423"/>
      <c r="D63" s="423"/>
      <c r="E63" s="423"/>
      <c r="F63" s="453"/>
      <c r="G63" s="423"/>
      <c r="H63" s="423"/>
      <c r="I63" s="423"/>
      <c r="J63" s="423"/>
      <c r="K63" s="423"/>
      <c r="L63" s="423"/>
      <c r="M63" s="423"/>
      <c r="N63" s="423"/>
      <c r="O63" s="423"/>
      <c r="P63" s="423"/>
      <c r="Q63" s="423"/>
      <c r="R63" s="423"/>
      <c r="S63" s="423"/>
      <c r="T63" s="472"/>
    </row>
    <row r="64" spans="1:20" s="428" customFormat="1" ht="12.75">
      <c r="A64" s="423"/>
      <c r="B64" s="423"/>
      <c r="C64" s="423"/>
      <c r="D64" s="423"/>
      <c r="E64" s="423"/>
      <c r="F64" s="453"/>
      <c r="G64" s="423"/>
      <c r="H64" s="423"/>
      <c r="I64" s="423"/>
      <c r="J64" s="423"/>
      <c r="K64" s="423"/>
      <c r="L64" s="423"/>
      <c r="M64" s="423"/>
      <c r="N64" s="423"/>
      <c r="O64" s="423"/>
      <c r="P64" s="423"/>
      <c r="Q64" s="423"/>
      <c r="R64" s="423"/>
      <c r="S64" s="423"/>
      <c r="T64" s="472"/>
    </row>
    <row r="65" spans="1:20" s="428" customFormat="1" ht="12.75">
      <c r="A65" s="423"/>
      <c r="B65" s="423"/>
      <c r="C65" s="423"/>
      <c r="D65" s="423"/>
      <c r="E65" s="423"/>
      <c r="F65" s="423"/>
      <c r="G65" s="423"/>
      <c r="H65" s="423"/>
      <c r="I65" s="423"/>
      <c r="J65" s="423"/>
      <c r="K65" s="423"/>
      <c r="L65" s="423"/>
      <c r="M65" s="423"/>
      <c r="N65" s="423"/>
      <c r="O65" s="423"/>
      <c r="P65" s="423"/>
      <c r="Q65" s="423"/>
      <c r="R65" s="423"/>
      <c r="S65" s="423"/>
      <c r="T65" s="472"/>
    </row>
    <row r="66" spans="1:20" s="428" customFormat="1" ht="12.75">
      <c r="A66" s="423"/>
      <c r="B66" s="423"/>
      <c r="C66" s="423"/>
      <c r="D66" s="423"/>
      <c r="E66" s="423"/>
      <c r="F66" s="423"/>
      <c r="G66" s="423"/>
      <c r="H66" s="423"/>
      <c r="I66" s="423"/>
      <c r="J66" s="423"/>
      <c r="K66" s="423"/>
      <c r="L66" s="423"/>
      <c r="M66" s="423"/>
      <c r="N66" s="423"/>
      <c r="O66" s="423"/>
      <c r="P66" s="423"/>
      <c r="Q66" s="423"/>
      <c r="R66" s="423"/>
      <c r="S66" s="423"/>
      <c r="T66" s="472"/>
    </row>
    <row r="67" spans="1:20" s="428" customFormat="1" ht="12.75">
      <c r="A67" s="423"/>
      <c r="B67" s="423"/>
      <c r="C67" s="423"/>
      <c r="D67" s="423"/>
      <c r="E67" s="423"/>
      <c r="F67" s="423"/>
      <c r="G67" s="423"/>
      <c r="H67" s="423"/>
      <c r="I67" s="423"/>
      <c r="J67" s="423"/>
      <c r="K67" s="423"/>
      <c r="L67" s="423"/>
      <c r="M67" s="423"/>
      <c r="N67" s="423"/>
      <c r="O67" s="423"/>
      <c r="P67" s="423"/>
      <c r="Q67" s="423"/>
      <c r="R67" s="423"/>
      <c r="S67" s="423"/>
      <c r="T67" s="472"/>
    </row>
    <row r="68" spans="1:20" s="428" customFormat="1" ht="12.75">
      <c r="A68" s="423"/>
      <c r="B68" s="423"/>
      <c r="C68" s="423"/>
      <c r="D68" s="423"/>
      <c r="E68" s="423"/>
      <c r="F68" s="423"/>
      <c r="G68" s="423"/>
      <c r="H68" s="423"/>
      <c r="I68" s="423"/>
      <c r="J68" s="423"/>
      <c r="K68" s="423"/>
      <c r="L68" s="423"/>
      <c r="M68" s="423"/>
      <c r="N68" s="423"/>
      <c r="O68" s="423"/>
      <c r="P68" s="423"/>
      <c r="Q68" s="423"/>
      <c r="R68" s="423"/>
      <c r="S68" s="423"/>
      <c r="T68" s="472"/>
    </row>
    <row r="69" spans="1:20" s="428" customFormat="1" ht="12.75">
      <c r="A69" s="423"/>
      <c r="B69" s="423"/>
      <c r="C69" s="423"/>
      <c r="D69" s="423"/>
      <c r="E69" s="423"/>
      <c r="F69" s="423"/>
      <c r="G69" s="423"/>
      <c r="H69" s="423"/>
      <c r="I69" s="423"/>
      <c r="J69" s="423"/>
      <c r="K69" s="423"/>
      <c r="L69" s="423"/>
      <c r="M69" s="423"/>
      <c r="N69" s="423"/>
      <c r="O69" s="423"/>
      <c r="P69" s="423"/>
      <c r="Q69" s="423"/>
      <c r="R69" s="423"/>
      <c r="S69" s="423"/>
      <c r="T69" s="472"/>
    </row>
    <row r="70" spans="1:20" s="428" customFormat="1" ht="12.75">
      <c r="A70" s="423"/>
      <c r="B70" s="423"/>
      <c r="C70" s="423"/>
      <c r="D70" s="423"/>
      <c r="E70" s="423"/>
      <c r="F70" s="423"/>
      <c r="G70" s="423"/>
      <c r="H70" s="423"/>
      <c r="I70" s="423"/>
      <c r="J70" s="423"/>
      <c r="K70" s="423"/>
      <c r="L70" s="423"/>
      <c r="M70" s="423"/>
      <c r="N70" s="423"/>
      <c r="O70" s="423"/>
      <c r="P70" s="423"/>
      <c r="Q70" s="423"/>
      <c r="R70" s="423"/>
      <c r="S70" s="423"/>
      <c r="T70" s="472"/>
    </row>
    <row r="71" spans="1:20" s="428" customFormat="1" ht="12.75">
      <c r="A71" s="423"/>
      <c r="B71" s="423"/>
      <c r="C71" s="423"/>
      <c r="D71" s="423"/>
      <c r="E71" s="423"/>
      <c r="F71" s="423"/>
      <c r="G71" s="423"/>
      <c r="H71" s="423"/>
      <c r="I71" s="423"/>
      <c r="J71" s="423"/>
      <c r="K71" s="423"/>
      <c r="L71" s="423"/>
      <c r="M71" s="423"/>
      <c r="N71" s="423"/>
      <c r="O71" s="423"/>
      <c r="P71" s="423"/>
      <c r="Q71" s="423"/>
      <c r="R71" s="423"/>
      <c r="S71" s="423"/>
      <c r="T71" s="472"/>
    </row>
    <row r="72" s="472" customFormat="1" ht="12.75"/>
    <row r="73" s="428" customFormat="1" ht="12.75">
      <c r="T73" s="472"/>
    </row>
    <row r="74" s="428" customFormat="1" ht="12.75">
      <c r="T74" s="472"/>
    </row>
    <row r="86" spans="3:17" ht="12.75">
      <c r="C86" s="463"/>
      <c r="D86" s="463"/>
      <c r="E86" s="463"/>
      <c r="F86" s="463"/>
      <c r="G86" s="463"/>
      <c r="H86" s="463"/>
      <c r="I86" s="463"/>
      <c r="J86" s="463"/>
      <c r="K86" s="463"/>
      <c r="L86" s="463"/>
      <c r="M86" s="463"/>
      <c r="N86" s="463"/>
      <c r="O86" s="463"/>
      <c r="P86" s="463"/>
      <c r="Q86" s="463"/>
    </row>
    <row r="87" spans="3:17" ht="12.75">
      <c r="C87" s="463"/>
      <c r="D87" s="463"/>
      <c r="E87" s="463"/>
      <c r="F87" s="463"/>
      <c r="G87" s="463"/>
      <c r="H87" s="463"/>
      <c r="I87" s="463"/>
      <c r="J87" s="463"/>
      <c r="K87" s="463"/>
      <c r="L87" s="463"/>
      <c r="M87" s="463"/>
      <c r="N87" s="463"/>
      <c r="O87" s="463"/>
      <c r="P87" s="463"/>
      <c r="Q87" s="463"/>
    </row>
    <row r="88" spans="3:17" ht="12.75">
      <c r="C88" s="538"/>
      <c r="D88" s="472" t="s">
        <v>139</v>
      </c>
      <c r="E88" s="794" t="str">
        <f>IF(ISBLANK(H12),"#value!",H12)</f>
        <v>#value!</v>
      </c>
      <c r="F88" s="794" t="str">
        <f aca="true" t="shared" si="10" ref="F88:P88">IF(ISBLANK(I12),"NA",I12)</f>
        <v>NA</v>
      </c>
      <c r="G88" s="794">
        <f t="shared" si="10"/>
        <v>-10</v>
      </c>
      <c r="H88" s="794">
        <f t="shared" si="10"/>
        <v>0</v>
      </c>
      <c r="I88" s="794">
        <f t="shared" si="10"/>
        <v>30</v>
      </c>
      <c r="J88" s="794">
        <f t="shared" si="10"/>
        <v>68</v>
      </c>
      <c r="K88" s="794">
        <f t="shared" si="10"/>
        <v>110</v>
      </c>
      <c r="L88" s="794">
        <f t="shared" si="10"/>
        <v>170</v>
      </c>
      <c r="M88" s="794" t="str">
        <f t="shared" si="10"/>
        <v>NA</v>
      </c>
      <c r="N88" s="794" t="str">
        <f t="shared" si="10"/>
        <v>NA</v>
      </c>
      <c r="O88" s="794" t="str">
        <f t="shared" si="10"/>
        <v>NA</v>
      </c>
      <c r="P88" s="794" t="str">
        <f t="shared" si="10"/>
        <v>NA</v>
      </c>
      <c r="Q88" s="463"/>
    </row>
    <row r="89" spans="3:17" ht="12.75">
      <c r="C89" s="538"/>
      <c r="D89" s="472" t="s">
        <v>316</v>
      </c>
      <c r="E89" s="472" t="e">
        <f aca="true" t="shared" si="11" ref="E89:P89">IF(ISBLANK(H12),COS(E88),H12)</f>
        <v>#VALUE!</v>
      </c>
      <c r="F89" s="472" t="e">
        <f t="shared" si="11"/>
        <v>#VALUE!</v>
      </c>
      <c r="G89" s="472">
        <f t="shared" si="11"/>
        <v>-10</v>
      </c>
      <c r="H89" s="472">
        <f t="shared" si="11"/>
        <v>0</v>
      </c>
      <c r="I89" s="472">
        <f t="shared" si="11"/>
        <v>30</v>
      </c>
      <c r="J89" s="472">
        <f t="shared" si="11"/>
        <v>68</v>
      </c>
      <c r="K89" s="472">
        <f t="shared" si="11"/>
        <v>110</v>
      </c>
      <c r="L89" s="472">
        <f t="shared" si="11"/>
        <v>170</v>
      </c>
      <c r="M89" s="472" t="e">
        <f t="shared" si="11"/>
        <v>#VALUE!</v>
      </c>
      <c r="N89" s="472" t="e">
        <f t="shared" si="11"/>
        <v>#VALUE!</v>
      </c>
      <c r="O89" s="472" t="e">
        <f t="shared" si="11"/>
        <v>#VALUE!</v>
      </c>
      <c r="P89" s="472" t="e">
        <f t="shared" si="11"/>
        <v>#VALUE!</v>
      </c>
      <c r="Q89" s="463"/>
    </row>
    <row r="90" spans="3:17" ht="12.75">
      <c r="C90" s="538"/>
      <c r="D90" s="472" t="str">
        <f>G48</f>
        <v>Benzene</v>
      </c>
      <c r="E90" s="472" t="e">
        <f>IF(ISBLANK(VLOOKUP($D$90,geo_contam_data,6,FALSE)),#N/A,VLOOKUP($D$90,geo_contam_data,6,FALSE))</f>
        <v>#N/A</v>
      </c>
      <c r="F90" s="472" t="e">
        <f>IF(ISBLANK(VLOOKUP($D$90,geo_contam_data,7,FALSE)),#N/A,VLOOKUP($D$90,geo_contam_data,7,FALSE))</f>
        <v>#N/A</v>
      </c>
      <c r="G90" s="472">
        <f>IF(ISBLANK(VLOOKUP($D$90,geo_contam_data,8,FALSE)),#N/A,VLOOKUP($D$90,geo_contam_data,8,FALSE))</f>
        <v>120</v>
      </c>
      <c r="H90" s="472">
        <f>IF(ISBLANK(VLOOKUP($D$90,geo_contam_data,9,FALSE)),#N/A,VLOOKUP($D$90,geo_contam_data,9,FALSE))</f>
        <v>2367</v>
      </c>
      <c r="I90" s="472">
        <f>IF(ISBLANK(VLOOKUP($D$90,geo_contam_data,10,FALSE)),#N/A,VLOOKUP($D$90,geo_contam_data,10,FALSE))</f>
        <v>2900</v>
      </c>
      <c r="J90" s="472">
        <f>IF(ISBLANK(VLOOKUP($D$90,geo_contam_data,11,FALSE)),#N/A,VLOOKUP($D$90,geo_contam_data,11,FALSE))</f>
        <v>450</v>
      </c>
      <c r="K90" s="472">
        <f>IF(ISBLANK(VLOOKUP($D$90,geo_contam_data,12,FALSE)),#N/A,VLOOKUP($D$90,geo_contam_data,12,FALSE))</f>
        <v>120</v>
      </c>
      <c r="L90" s="472">
        <f>IF(ISBLANK(VLOOKUP($D$90,geo_contam_data,13,FALSE)),#N/A,VLOOKUP($D$90,geo_contam_data,13,FALSE))</f>
        <v>15</v>
      </c>
      <c r="M90" s="472" t="e">
        <f>IF(ISBLANK(VLOOKUP($D$90,geo_contam_data,14,FALSE)),#N/A,VLOOKUP($D$90,geo_contam_data,14,FALSE))</f>
        <v>#N/A</v>
      </c>
      <c r="N90" s="472" t="e">
        <f>IF(ISBLANK(VLOOKUP($D$90,geo_contam_data,15,FALSE)),#N/A,VLOOKUP($D$90,geo_contam_data,15,FALSE))</f>
        <v>#N/A</v>
      </c>
      <c r="O90" s="472" t="e">
        <f>IF(ISBLANK(VLOOKUP($D$90,geo_contam_data,16,FALSE)),#N/A,VLOOKUP($D$90,geo_contam_data,16,FALSE))</f>
        <v>#N/A</v>
      </c>
      <c r="P90" s="472" t="e">
        <f>IF(ISBLANK(VLOOKUP($D$90,geo_contam_data,17,FALSE)),#N/A,VLOOKUP($D$90,geo_contam_data,17,FALSE))</f>
        <v>#N/A</v>
      </c>
      <c r="Q90" s="463"/>
    </row>
    <row r="91" spans="3:17" ht="12.75">
      <c r="C91" s="538" t="s">
        <v>119</v>
      </c>
      <c r="D91" s="472" t="str">
        <f>G50</f>
        <v>Manganese</v>
      </c>
      <c r="E91" s="472" t="e">
        <f>IF(ISBLANK(VLOOKUP($D$91,geo_indic_data,6,FALSE)),#N/A,VLOOKUP($D$91,geo_indic_data,6,FALSE))</f>
        <v>#N/A</v>
      </c>
      <c r="F91" s="472" t="e">
        <f>IF(ISBLANK(VLOOKUP($D$91,geo_indic_data,7,FALSE)),#N/A,VLOOKUP($D$91,geo_indic_data,7,FALSE))</f>
        <v>#N/A</v>
      </c>
      <c r="G91" s="472">
        <f>IF(ISBLANK(VLOOKUP($D$91,geo_indic_data,8,FALSE)),#N/A,VLOOKUP($D$91,geo_indic_data,8,FALSE))</f>
        <v>1.2</v>
      </c>
      <c r="H91" s="472">
        <f>IF(ISBLANK(VLOOKUP($D$91,geo_indic_data,9,FALSE)),#N/A,VLOOKUP($D$91,geo_indic_data,9,FALSE))</f>
        <v>1.5</v>
      </c>
      <c r="I91" s="472">
        <f>IF(ISBLANK(VLOOKUP($D$91,geo_indic_data,10,FALSE)),#N/A,VLOOKUP($D$91,geo_indic_data,10,FALSE))</f>
        <v>0.8</v>
      </c>
      <c r="J91" s="472">
        <f>IF(ISBLANK(VLOOKUP($D$91,geo_indic_data,11,FALSE)),#N/A,VLOOKUP($D$91,geo_indic_data,11,FALSE))</f>
        <v>0.3</v>
      </c>
      <c r="K91" s="472">
        <f>IF(ISBLANK(VLOOKUP($D$91,geo_indic_data,12,FALSE)),#N/A,VLOOKUP($D$91,geo_indic_data,12,FALSE))</f>
        <v>0.25</v>
      </c>
      <c r="L91" s="472">
        <f>IF(ISBLANK(VLOOKUP($D$91,geo_indic_data,13,FALSE)),#N/A,VLOOKUP($D$91,geo_indic_data,13,FALSE))</f>
        <v>0.25</v>
      </c>
      <c r="M91" s="472" t="e">
        <f>IF(ISBLANK(VLOOKUP($D$91,geo_indic_data,14,FALSE)),#N/A,VLOOKUP($D$91,geo_indic_data,14,FALSE))</f>
        <v>#N/A</v>
      </c>
      <c r="N91" s="472" t="e">
        <f>IF(ISBLANK(VLOOKUP($D$91,geo_indic_data,15,FALSE)),#N/A,VLOOKUP($D$91,geo_indic_data,15,FALSE))</f>
        <v>#N/A</v>
      </c>
      <c r="O91" s="472" t="e">
        <f>IF(ISBLANK(VLOOKUP($D$91,geo_indic_data,16,FALSE)),#N/A,VLOOKUP($D$91,geo_indic_data,16,FALSE))</f>
        <v>#N/A</v>
      </c>
      <c r="P91" s="472" t="e">
        <f>IF(ISBLANK(VLOOKUP($D$91,geo_indic_data,17,FALSE)),#N/A,VLOOKUP($D$91,geo_indic_data,17,FALSE))</f>
        <v>#N/A</v>
      </c>
      <c r="Q91" s="463"/>
    </row>
    <row r="92" spans="3:17" ht="12.75">
      <c r="C92" s="538" t="s">
        <v>118</v>
      </c>
      <c r="D92" s="472" t="str">
        <f>G49</f>
        <v>Dissolved Oxygen</v>
      </c>
      <c r="E92" s="472" t="e">
        <f>IF(ISBLANK(VLOOKUP($D$92,geo_indic_data,6,FALSE)),#N/A,VLOOKUP($D$92,geo_indic_data,6,FALSE))</f>
        <v>#N/A</v>
      </c>
      <c r="F92" s="472" t="e">
        <f>IF(ISBLANK(VLOOKUP($D$92,geo_indic_data,7,FALSE)),#N/A,VLOOKUP($D$92,geo_indic_data,7,FALSE))</f>
        <v>#N/A</v>
      </c>
      <c r="G92" s="472">
        <f>IF(ISBLANK(VLOOKUP($D$92,geo_indic_data,8,FALSE)),#N/A,VLOOKUP($D$92,geo_indic_data,8,FALSE))</f>
        <v>3.5</v>
      </c>
      <c r="H92" s="472">
        <f>IF(ISBLANK(VLOOKUP($D$92,geo_indic_data,9,FALSE)),#N/A,VLOOKUP($D$92,geo_indic_data,9,FALSE))</f>
        <v>0.1</v>
      </c>
      <c r="I92" s="472">
        <f>IF(ISBLANK(VLOOKUP($D$92,geo_indic_data,10,FALSE)),#N/A,VLOOKUP($D$92,geo_indic_data,10,FALSE))</f>
        <v>0.5</v>
      </c>
      <c r="J92" s="472">
        <f>IF(ISBLANK(VLOOKUP($D$92,geo_indic_data,11,FALSE)),#N/A,VLOOKUP($D$92,geo_indic_data,11,FALSE))</f>
        <v>1</v>
      </c>
      <c r="K92" s="472">
        <f>IF(ISBLANK(VLOOKUP($D$92,geo_indic_data,12,FALSE)),#N/A,VLOOKUP($D$92,geo_indic_data,12,FALSE))</f>
        <v>2.5</v>
      </c>
      <c r="L92" s="472">
        <f>IF(ISBLANK(VLOOKUP($D$92,geo_indic_data,13,FALSE)),#N/A,VLOOKUP($D$92,geo_indic_data,13,FALSE))</f>
        <v>7</v>
      </c>
      <c r="M92" s="472" t="e">
        <f>IF(ISBLANK(VLOOKUP($D$92,geo_indic_data,14,FALSE)),#N/A,VLOOKUP($D$92,geo_indic_data,14,FALSE))</f>
        <v>#N/A</v>
      </c>
      <c r="N92" s="472" t="e">
        <f>IF(ISBLANK(VLOOKUP($D$92,geo_indic_data,15,FALSE)),#N/A,VLOOKUP($D$92,geo_indic_data,15,FALSE))</f>
        <v>#N/A</v>
      </c>
      <c r="O92" s="472" t="e">
        <f>IF(ISBLANK(VLOOKUP($D$92,geo_indic_data,16,FALSE)),#N/A,VLOOKUP($D$92,geo_indic_data,16,FALSE))</f>
        <v>#N/A</v>
      </c>
      <c r="P92" s="472" t="e">
        <f>IF(ISBLANK(VLOOKUP($D$92,geo_indic_data,17,FALSE)),#N/A,VLOOKUP($D$92,geo_indic_data,17,FALSE))</f>
        <v>#N/A</v>
      </c>
      <c r="Q92" s="463"/>
    </row>
    <row r="93" spans="3:17" ht="12.75">
      <c r="C93" s="463"/>
      <c r="D93" s="463"/>
      <c r="E93" s="463"/>
      <c r="F93" s="463"/>
      <c r="G93" s="463"/>
      <c r="H93" s="463"/>
      <c r="I93" s="463"/>
      <c r="J93" s="463"/>
      <c r="K93" s="463"/>
      <c r="L93" s="463"/>
      <c r="M93" s="463"/>
      <c r="N93" s="463"/>
      <c r="O93" s="463"/>
      <c r="P93" s="463"/>
      <c r="Q93" s="463"/>
    </row>
    <row r="94" spans="3:17" ht="12.75">
      <c r="C94" s="463"/>
      <c r="D94" s="463"/>
      <c r="E94" s="463"/>
      <c r="F94" s="463"/>
      <c r="G94" s="463"/>
      <c r="H94" s="463"/>
      <c r="I94" s="463"/>
      <c r="J94" s="463"/>
      <c r="K94" s="463"/>
      <c r="L94" s="463"/>
      <c r="M94" s="463"/>
      <c r="N94" s="463"/>
      <c r="O94" s="463"/>
      <c r="P94" s="463"/>
      <c r="Q94" s="463"/>
    </row>
  </sheetData>
  <sheetProtection/>
  <mergeCells count="6">
    <mergeCell ref="C18:E18"/>
    <mergeCell ref="C19:E19"/>
    <mergeCell ref="G49:H49"/>
    <mergeCell ref="G50:H50"/>
    <mergeCell ref="G35:H35"/>
    <mergeCell ref="G48:H48"/>
  </mergeCells>
  <dataValidations count="4">
    <dataValidation type="list" allowBlank="1" showInputMessage="1" showErrorMessage="1" sqref="C20">
      <formula1>chemicalName</formula1>
    </dataValidation>
    <dataValidation type="list" allowBlank="1" showInputMessage="1" showErrorMessage="1" sqref="G48">
      <formula1>GEO_Contam</formula1>
    </dataValidation>
    <dataValidation type="list" allowBlank="1" showInputMessage="1" showErrorMessage="1" sqref="G49:G50">
      <formula1>GEo_indicat</formula1>
    </dataValidation>
    <dataValidation type="list" allowBlank="1" showInputMessage="1" showErrorMessage="1" sqref="G35 C18:C19">
      <formula1>cheName</formula1>
    </dataValidation>
  </dataValidations>
  <printOptions/>
  <pageMargins left="0.48" right="0.3" top="0.43" bottom="0.4" header="0.21" footer="0.23"/>
  <pageSetup blackAndWhite="1" horizontalDpi="600" verticalDpi="600" orientation="portrait" scale="85" r:id="rId4"/>
  <headerFooter alignWithMargins="0">
    <oddHeader>&amp;L&amp;8Washington State Department of Ecology: TCP program&amp;R&amp;8&amp;D</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Sheet13"/>
  <dimension ref="A1:L36"/>
  <sheetViews>
    <sheetView showGridLines="0" showRowColHeaders="0" tabSelected="1" zoomScale="120" zoomScaleNormal="120" zoomScalePageLayoutView="0" workbookViewId="0" topLeftCell="A1">
      <selection activeCell="B2" sqref="B2"/>
    </sheetView>
  </sheetViews>
  <sheetFormatPr defaultColWidth="9.33203125" defaultRowHeight="12.75"/>
  <cols>
    <col min="1" max="1" width="2.16015625" style="685" customWidth="1"/>
    <col min="2" max="2" width="4.83203125" style="579" customWidth="1"/>
    <col min="3" max="3" width="14.33203125" style="579" customWidth="1"/>
    <col min="4" max="4" width="24" style="579" customWidth="1"/>
    <col min="5" max="5" width="25.5" style="579" customWidth="1"/>
    <col min="6" max="6" width="26.83203125" style="579" customWidth="1"/>
    <col min="7" max="7" width="8.83203125" style="579" customWidth="1"/>
    <col min="8" max="8" width="4.16015625" style="579" customWidth="1"/>
    <col min="9" max="9" width="5.66015625" style="579" customWidth="1"/>
    <col min="10" max="10" width="4.5" style="579" customWidth="1"/>
    <col min="11" max="16384" width="8.83203125" style="579" customWidth="1"/>
  </cols>
  <sheetData>
    <row r="1" spans="1:12" s="685" customFormat="1" ht="13.5" thickBot="1">
      <c r="A1" s="578"/>
      <c r="B1" s="578"/>
      <c r="C1" s="578"/>
      <c r="D1" s="578"/>
      <c r="E1" s="578"/>
      <c r="F1" s="578"/>
      <c r="G1" s="578"/>
      <c r="H1" s="578"/>
      <c r="I1" s="578"/>
      <c r="J1" s="578"/>
      <c r="K1" s="578"/>
      <c r="L1" s="578"/>
    </row>
    <row r="2" spans="1:12" ht="13.5" thickBot="1">
      <c r="A2" s="578"/>
      <c r="B2" s="580"/>
      <c r="C2" s="581"/>
      <c r="D2" s="581"/>
      <c r="E2" s="581"/>
      <c r="F2" s="581"/>
      <c r="G2" s="581"/>
      <c r="H2" s="582"/>
      <c r="I2" s="578"/>
      <c r="J2" s="578"/>
      <c r="K2" s="578"/>
      <c r="L2" s="578"/>
    </row>
    <row r="3" spans="1:12" ht="3.75" customHeight="1" thickTop="1">
      <c r="A3" s="578"/>
      <c r="B3" s="583"/>
      <c r="C3" s="584"/>
      <c r="D3" s="585"/>
      <c r="E3" s="585"/>
      <c r="F3" s="585"/>
      <c r="G3" s="586"/>
      <c r="H3" s="587"/>
      <c r="I3" s="578"/>
      <c r="J3" s="578"/>
      <c r="K3" s="578"/>
      <c r="L3" s="578"/>
    </row>
    <row r="4" spans="1:12" ht="17.25" customHeight="1">
      <c r="A4" s="578"/>
      <c r="B4" s="583"/>
      <c r="C4" s="588"/>
      <c r="D4" s="918"/>
      <c r="E4" s="828" t="s">
        <v>351</v>
      </c>
      <c r="F4" s="589"/>
      <c r="G4" s="590"/>
      <c r="H4" s="587"/>
      <c r="I4" s="578"/>
      <c r="J4" s="578"/>
      <c r="K4" s="578"/>
      <c r="L4" s="578"/>
    </row>
    <row r="5" spans="1:12" ht="4.5" customHeight="1" hidden="1">
      <c r="A5" s="578"/>
      <c r="B5" s="583"/>
      <c r="C5" s="588"/>
      <c r="D5" s="589"/>
      <c r="E5" s="591"/>
      <c r="F5" s="589"/>
      <c r="G5" s="590"/>
      <c r="H5" s="587"/>
      <c r="I5" s="578"/>
      <c r="J5" s="578"/>
      <c r="K5" s="578"/>
      <c r="L5" s="578"/>
    </row>
    <row r="6" spans="1:12" ht="13.5" customHeight="1" thickBot="1">
      <c r="A6" s="578"/>
      <c r="B6" s="583"/>
      <c r="C6" s="1116" t="s">
        <v>424</v>
      </c>
      <c r="D6" s="1117"/>
      <c r="E6" s="1117"/>
      <c r="F6" s="1117"/>
      <c r="G6" s="1118"/>
      <c r="H6" s="587"/>
      <c r="I6" s="578"/>
      <c r="J6" s="578"/>
      <c r="K6" s="578"/>
      <c r="L6" s="578"/>
    </row>
    <row r="7" spans="1:12" ht="17.25" customHeight="1" thickTop="1">
      <c r="A7" s="578"/>
      <c r="B7" s="583"/>
      <c r="C7" s="592"/>
      <c r="D7" s="593"/>
      <c r="E7" s="594"/>
      <c r="F7" s="595"/>
      <c r="G7" s="596"/>
      <c r="H7" s="587"/>
      <c r="I7" s="578"/>
      <c r="J7" s="578"/>
      <c r="K7" s="578"/>
      <c r="L7" s="578"/>
    </row>
    <row r="8" spans="1:12" ht="12.75">
      <c r="A8" s="578"/>
      <c r="B8" s="583"/>
      <c r="C8" s="592"/>
      <c r="D8" s="593"/>
      <c r="E8" s="591"/>
      <c r="F8" s="595"/>
      <c r="G8" s="596"/>
      <c r="H8" s="587"/>
      <c r="I8" s="578"/>
      <c r="J8" s="578"/>
      <c r="K8" s="578"/>
      <c r="L8" s="578"/>
    </row>
    <row r="9" spans="1:12" ht="16.5" customHeight="1">
      <c r="A9" s="578"/>
      <c r="B9" s="583"/>
      <c r="C9" s="592"/>
      <c r="D9" s="597"/>
      <c r="E9" s="598"/>
      <c r="F9" s="595"/>
      <c r="G9" s="596"/>
      <c r="H9" s="587"/>
      <c r="I9" s="578"/>
      <c r="J9" s="578"/>
      <c r="K9" s="578"/>
      <c r="L9" s="578"/>
    </row>
    <row r="10" spans="1:12" ht="12.75">
      <c r="A10" s="578"/>
      <c r="B10" s="583"/>
      <c r="C10" s="592"/>
      <c r="D10" s="593"/>
      <c r="E10" s="591"/>
      <c r="F10" s="595"/>
      <c r="G10" s="596"/>
      <c r="H10" s="587"/>
      <c r="I10" s="578"/>
      <c r="J10" s="578"/>
      <c r="K10" s="578"/>
      <c r="L10" s="578"/>
    </row>
    <row r="11" spans="1:12" ht="39.75" customHeight="1">
      <c r="A11" s="578"/>
      <c r="B11" s="583"/>
      <c r="C11" s="599"/>
      <c r="D11" s="595"/>
      <c r="E11" s="595"/>
      <c r="F11" s="595"/>
      <c r="G11" s="596"/>
      <c r="H11" s="587"/>
      <c r="I11" s="578"/>
      <c r="J11" s="578"/>
      <c r="K11" s="578"/>
      <c r="L11" s="578"/>
    </row>
    <row r="12" spans="1:12" ht="17.25" customHeight="1">
      <c r="A12" s="578"/>
      <c r="B12" s="583"/>
      <c r="C12" s="599"/>
      <c r="D12" s="595"/>
      <c r="E12" s="595"/>
      <c r="F12" s="595"/>
      <c r="G12" s="596"/>
      <c r="H12" s="587"/>
      <c r="I12" s="578"/>
      <c r="J12" s="578"/>
      <c r="K12" s="578"/>
      <c r="L12" s="578"/>
    </row>
    <row r="13" spans="1:12" ht="66.75" customHeight="1">
      <c r="A13" s="578"/>
      <c r="B13" s="583"/>
      <c r="C13" s="600"/>
      <c r="D13" s="595"/>
      <c r="E13" s="595"/>
      <c r="F13" s="595"/>
      <c r="G13" s="596"/>
      <c r="H13" s="587"/>
      <c r="I13" s="578"/>
      <c r="J13" s="578"/>
      <c r="K13" s="578"/>
      <c r="L13" s="578"/>
    </row>
    <row r="14" spans="1:12" ht="12.75" customHeight="1" hidden="1">
      <c r="A14" s="578"/>
      <c r="B14" s="583"/>
      <c r="C14" s="600"/>
      <c r="D14" s="595"/>
      <c r="E14" s="595"/>
      <c r="F14" s="595"/>
      <c r="G14" s="596"/>
      <c r="H14" s="587"/>
      <c r="I14" s="578"/>
      <c r="J14" s="578"/>
      <c r="K14" s="578"/>
      <c r="L14" s="578"/>
    </row>
    <row r="15" spans="1:12" ht="22.5" customHeight="1" hidden="1">
      <c r="A15" s="578"/>
      <c r="B15" s="583"/>
      <c r="C15" s="600"/>
      <c r="D15" s="595"/>
      <c r="E15" s="595"/>
      <c r="F15" s="595"/>
      <c r="G15" s="596"/>
      <c r="H15" s="587"/>
      <c r="I15" s="578"/>
      <c r="J15" s="578"/>
      <c r="K15" s="578"/>
      <c r="L15" s="578"/>
    </row>
    <row r="16" spans="1:12" ht="6" customHeight="1">
      <c r="A16" s="578"/>
      <c r="B16" s="583"/>
      <c r="C16" s="601"/>
      <c r="D16" s="595"/>
      <c r="E16" s="602"/>
      <c r="F16" s="595"/>
      <c r="G16" s="596"/>
      <c r="H16" s="587"/>
      <c r="I16" s="578"/>
      <c r="J16" s="578"/>
      <c r="K16" s="578"/>
      <c r="L16" s="578"/>
    </row>
    <row r="17" spans="1:12" ht="12.75" customHeight="1">
      <c r="A17" s="578"/>
      <c r="B17" s="583"/>
      <c r="C17" s="601"/>
      <c r="D17" s="595"/>
      <c r="E17" s="602"/>
      <c r="F17" s="595"/>
      <c r="G17" s="596"/>
      <c r="H17" s="587"/>
      <c r="I17" s="578"/>
      <c r="J17" s="578"/>
      <c r="K17" s="578"/>
      <c r="L17" s="578"/>
    </row>
    <row r="18" spans="1:12" ht="20.25" customHeight="1" thickBot="1">
      <c r="A18" s="578"/>
      <c r="B18" s="583"/>
      <c r="C18" s="601"/>
      <c r="D18" s="595"/>
      <c r="E18" s="602"/>
      <c r="F18" s="595"/>
      <c r="G18" s="596"/>
      <c r="H18" s="587"/>
      <c r="I18" s="578"/>
      <c r="J18" s="578"/>
      <c r="K18" s="578"/>
      <c r="L18" s="578"/>
    </row>
    <row r="19" spans="1:12" ht="14.25" thickBot="1" thickTop="1">
      <c r="A19" s="578"/>
      <c r="B19" s="583"/>
      <c r="C19" s="1119" t="s">
        <v>456</v>
      </c>
      <c r="D19" s="1120"/>
      <c r="E19" s="1120"/>
      <c r="F19" s="1120"/>
      <c r="G19" s="1121"/>
      <c r="H19" s="587"/>
      <c r="I19" s="578"/>
      <c r="J19" s="578"/>
      <c r="K19" s="578"/>
      <c r="L19" s="578"/>
    </row>
    <row r="20" spans="1:12" ht="10.5" customHeight="1" thickBot="1">
      <c r="A20" s="578"/>
      <c r="B20" s="603"/>
      <c r="C20" s="604"/>
      <c r="D20" s="604"/>
      <c r="E20" s="604"/>
      <c r="F20" s="604"/>
      <c r="G20" s="604"/>
      <c r="H20" s="605"/>
      <c r="I20" s="578"/>
      <c r="J20" s="578"/>
      <c r="K20" s="578"/>
      <c r="L20" s="578"/>
    </row>
    <row r="21" spans="1:12" ht="12.75">
      <c r="A21" s="578"/>
      <c r="B21" s="578"/>
      <c r="C21" s="578"/>
      <c r="D21" s="578"/>
      <c r="E21" s="578"/>
      <c r="F21" s="578"/>
      <c r="G21" s="578"/>
      <c r="H21" s="578"/>
      <c r="I21" s="578"/>
      <c r="J21" s="578"/>
      <c r="K21" s="578"/>
      <c r="L21" s="578"/>
    </row>
    <row r="22" spans="1:12" ht="12.75">
      <c r="A22" s="578"/>
      <c r="B22" s="578"/>
      <c r="C22" s="578"/>
      <c r="D22" s="578"/>
      <c r="E22" s="578"/>
      <c r="F22" s="578"/>
      <c r="G22" s="578"/>
      <c r="H22" s="578"/>
      <c r="I22" s="578"/>
      <c r="J22" s="578"/>
      <c r="K22" s="578"/>
      <c r="L22" s="578"/>
    </row>
    <row r="23" spans="1:12" ht="1.5" customHeight="1">
      <c r="A23" s="578"/>
      <c r="B23" s="578"/>
      <c r="C23" s="578"/>
      <c r="D23" s="578"/>
      <c r="E23" s="578"/>
      <c r="F23" s="578"/>
      <c r="G23" s="578"/>
      <c r="H23" s="578"/>
      <c r="I23" s="578"/>
      <c r="J23" s="578"/>
      <c r="K23" s="578"/>
      <c r="L23" s="578"/>
    </row>
    <row r="24" spans="1:12" ht="12.75">
      <c r="A24" s="578"/>
      <c r="B24" s="578"/>
      <c r="C24" s="578"/>
      <c r="D24" s="578"/>
      <c r="E24" s="578"/>
      <c r="F24" s="578"/>
      <c r="G24" s="578"/>
      <c r="H24" s="578"/>
      <c r="I24" s="578"/>
      <c r="J24" s="578"/>
      <c r="K24" s="578"/>
      <c r="L24" s="578"/>
    </row>
    <row r="25" spans="1:12" ht="12.75">
      <c r="A25" s="578"/>
      <c r="B25" s="578"/>
      <c r="C25" s="578"/>
      <c r="D25" s="578"/>
      <c r="E25" s="578"/>
      <c r="F25" s="578"/>
      <c r="G25" s="578"/>
      <c r="H25" s="578"/>
      <c r="I25" s="578"/>
      <c r="J25" s="578"/>
      <c r="K25" s="578"/>
      <c r="L25" s="578"/>
    </row>
    <row r="26" spans="1:12" ht="12.75">
      <c r="A26" s="578"/>
      <c r="B26" s="578"/>
      <c r="C26" s="578"/>
      <c r="D26" s="578"/>
      <c r="E26" s="578"/>
      <c r="F26" s="578"/>
      <c r="G26" s="578"/>
      <c r="H26" s="578"/>
      <c r="I26" s="578"/>
      <c r="J26" s="578"/>
      <c r="K26" s="578"/>
      <c r="L26" s="578"/>
    </row>
    <row r="27" spans="1:12" ht="12.75">
      <c r="A27" s="578"/>
      <c r="B27" s="578"/>
      <c r="C27" s="578"/>
      <c r="D27" s="578"/>
      <c r="E27" s="578"/>
      <c r="F27" s="578"/>
      <c r="G27" s="578"/>
      <c r="H27" s="578"/>
      <c r="I27" s="578"/>
      <c r="J27" s="578"/>
      <c r="K27" s="578"/>
      <c r="L27" s="578"/>
    </row>
    <row r="28" spans="1:12" ht="12.75">
      <c r="A28" s="578"/>
      <c r="B28" s="578"/>
      <c r="C28" s="578"/>
      <c r="D28" s="578"/>
      <c r="E28" s="578"/>
      <c r="F28" s="578"/>
      <c r="G28" s="578"/>
      <c r="H28" s="578"/>
      <c r="I28" s="578"/>
      <c r="J28" s="578"/>
      <c r="K28" s="578"/>
      <c r="L28" s="578"/>
    </row>
    <row r="29" spans="1:12" ht="12.75">
      <c r="A29" s="578"/>
      <c r="B29" s="578"/>
      <c r="C29" s="578"/>
      <c r="D29" s="578"/>
      <c r="E29" s="578"/>
      <c r="F29" s="578"/>
      <c r="G29" s="578"/>
      <c r="H29" s="578"/>
      <c r="I29" s="578"/>
      <c r="J29" s="578"/>
      <c r="K29" s="578"/>
      <c r="L29" s="578"/>
    </row>
    <row r="30" spans="1:12" ht="12.75">
      <c r="A30" s="578"/>
      <c r="B30" s="578"/>
      <c r="C30" s="578"/>
      <c r="D30" s="578"/>
      <c r="E30" s="578"/>
      <c r="F30" s="578"/>
      <c r="G30" s="578"/>
      <c r="H30" s="578"/>
      <c r="I30" s="578"/>
      <c r="J30" s="578"/>
      <c r="K30" s="578"/>
      <c r="L30" s="578"/>
    </row>
    <row r="31" spans="1:12" ht="12.75">
      <c r="A31" s="578"/>
      <c r="B31" s="578"/>
      <c r="C31" s="578"/>
      <c r="D31" s="578"/>
      <c r="E31" s="578"/>
      <c r="F31" s="578"/>
      <c r="G31" s="578"/>
      <c r="H31" s="578"/>
      <c r="I31" s="578"/>
      <c r="J31" s="578"/>
      <c r="K31" s="578"/>
      <c r="L31" s="578"/>
    </row>
    <row r="32" spans="1:12" ht="12.75">
      <c r="A32" s="578"/>
      <c r="B32" s="578"/>
      <c r="C32" s="578"/>
      <c r="D32" s="578"/>
      <c r="E32" s="578"/>
      <c r="F32" s="578"/>
      <c r="G32" s="578"/>
      <c r="H32" s="578"/>
      <c r="I32" s="578"/>
      <c r="J32" s="578"/>
      <c r="K32" s="578"/>
      <c r="L32" s="578"/>
    </row>
    <row r="33" spans="1:12" ht="12.75">
      <c r="A33" s="578"/>
      <c r="B33" s="578"/>
      <c r="C33" s="578"/>
      <c r="D33" s="578"/>
      <c r="E33" s="578"/>
      <c r="F33" s="578"/>
      <c r="G33" s="578"/>
      <c r="H33" s="578"/>
      <c r="I33" s="578"/>
      <c r="J33" s="578"/>
      <c r="K33" s="578"/>
      <c r="L33" s="578"/>
    </row>
    <row r="34" spans="1:12" ht="12.75">
      <c r="A34" s="578"/>
      <c r="B34" s="578"/>
      <c r="C34" s="578"/>
      <c r="D34" s="578"/>
      <c r="E34" s="578"/>
      <c r="F34" s="578"/>
      <c r="G34" s="578"/>
      <c r="H34" s="578"/>
      <c r="I34" s="578"/>
      <c r="J34" s="578"/>
      <c r="K34" s="578"/>
      <c r="L34" s="578"/>
    </row>
    <row r="35" spans="1:12" ht="12.75">
      <c r="A35" s="578"/>
      <c r="B35" s="578"/>
      <c r="C35" s="578"/>
      <c r="D35" s="578"/>
      <c r="E35" s="578"/>
      <c r="F35" s="578"/>
      <c r="G35" s="578"/>
      <c r="H35" s="578"/>
      <c r="I35" s="578"/>
      <c r="J35" s="578"/>
      <c r="K35" s="578"/>
      <c r="L35" s="578"/>
    </row>
    <row r="36" spans="1:12" ht="12.75">
      <c r="A36" s="578"/>
      <c r="B36" s="578"/>
      <c r="C36" s="578"/>
      <c r="D36" s="578"/>
      <c r="E36" s="578"/>
      <c r="F36" s="578"/>
      <c r="G36" s="578"/>
      <c r="H36" s="578"/>
      <c r="I36" s="578"/>
      <c r="J36" s="578"/>
      <c r="K36" s="578"/>
      <c r="L36" s="578"/>
    </row>
  </sheetData>
  <sheetProtection/>
  <mergeCells count="2">
    <mergeCell ref="C6:G6"/>
    <mergeCell ref="C19:G19"/>
  </mergeCells>
  <printOptions horizontalCentered="1" verticalCentered="1"/>
  <pageMargins left="0.17" right="0.5" top="1.32" bottom="1" header="0.48" footer="0.5"/>
  <pageSetup blackAndWhite="1" horizontalDpi="600" verticalDpi="600" orientation="landscape" scale="94" r:id="rId3"/>
  <headerFooter alignWithMargins="0">
    <oddHeader>&amp;CWashington State Department of Ecology, Toxics Cleanup Program</oddHeader>
    <oddFooter>&amp;C&amp;F&amp;R&amp;D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4"/>
  <dimension ref="A1:A1"/>
  <sheetViews>
    <sheetView showGridLines="0" showRowColHeaders="0" zoomScale="124" zoomScaleNormal="124" zoomScalePageLayoutView="0" workbookViewId="0" topLeftCell="A1">
      <selection activeCell="A1" sqref="A1"/>
    </sheetView>
  </sheetViews>
  <sheetFormatPr defaultColWidth="9.33203125" defaultRowHeight="12.75"/>
  <cols>
    <col min="1" max="16384" width="8.83203125" style="606" customWidth="1"/>
  </cols>
  <sheetData/>
  <sheetProtection/>
  <printOptions/>
  <pageMargins left="0.75" right="0.75" top="1" bottom="1" header="0.5" footer="0.5"/>
  <pageSetup horizontalDpi="600" verticalDpi="600" orientation="portrait" r:id="rId3"/>
  <headerFooter alignWithMargins="0">
    <oddHeader>&amp;L&amp;8Washington State Department of Ecology: TCP Program&amp;R&amp;8&amp;D</oddHeader>
  </headerFooter>
  <drawing r:id="rId2"/>
  <legacyDrawing r:id="rId1"/>
</worksheet>
</file>

<file path=xl/worksheets/sheet4.xml><?xml version="1.0" encoding="utf-8"?>
<worksheet xmlns="http://schemas.openxmlformats.org/spreadsheetml/2006/main" xmlns:r="http://schemas.openxmlformats.org/officeDocument/2006/relationships">
  <sheetPr codeName="Sheet8"/>
  <dimension ref="A1:A1"/>
  <sheetViews>
    <sheetView showGridLines="0" showRowColHeaders="0" zoomScale="83" zoomScaleNormal="83" zoomScalePageLayoutView="0" workbookViewId="0" topLeftCell="A2">
      <selection activeCell="A1" sqref="A1"/>
    </sheetView>
  </sheetViews>
  <sheetFormatPr defaultColWidth="9.33203125" defaultRowHeight="12.75"/>
  <cols>
    <col min="1" max="19" width="8.83203125" style="686" customWidth="1"/>
    <col min="20" max="20" width="12.66015625" style="686" customWidth="1"/>
    <col min="21" max="16384" width="8.83203125" style="686" customWidth="1"/>
  </cols>
  <sheetData>
    <row r="1" ht="12.75" hidden="1"/>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123" ht="36" customHeight="1"/>
  </sheetData>
  <sheetProtection/>
  <printOptions horizontalCentered="1" verticalCentered="1"/>
  <pageMargins left="0.5" right="0.28" top="0.52" bottom="0.31" header="0.5" footer="0.18"/>
  <pageSetup blackAndWhite="1" horizontalDpi="600" verticalDpi="600" orientation="portrait" scale="80" r:id="rId3"/>
  <headerFooter alignWithMargins="0">
    <oddHeader>&amp;R&amp;D</oddHeader>
  </headerFooter>
  <drawing r:id="rId2"/>
  <legacyDrawing r:id="rId1"/>
</worksheet>
</file>

<file path=xl/worksheets/sheet5.xml><?xml version="1.0" encoding="utf-8"?>
<worksheet xmlns="http://schemas.openxmlformats.org/spreadsheetml/2006/main" xmlns:r="http://schemas.openxmlformats.org/officeDocument/2006/relationships">
  <sheetPr codeName="Sheet9">
    <pageSetUpPr fitToPage="1"/>
  </sheetPr>
  <dimension ref="A1:A1"/>
  <sheetViews>
    <sheetView showGridLines="0" showRowColHeaders="0" zoomScale="89" zoomScaleNormal="89" zoomScaleSheetLayoutView="50" zoomScalePageLayoutView="0" workbookViewId="0" topLeftCell="A2">
      <selection activeCell="A1" sqref="A1"/>
    </sheetView>
  </sheetViews>
  <sheetFormatPr defaultColWidth="9.33203125" defaultRowHeight="12.75"/>
  <cols>
    <col min="1" max="13" width="8.83203125" style="687" customWidth="1"/>
    <col min="14" max="14" width="9.16015625" style="687" customWidth="1"/>
    <col min="15" max="15" width="14.66015625" style="687" customWidth="1"/>
    <col min="16" max="16" width="3.16015625" style="687" customWidth="1"/>
    <col min="17" max="16384" width="8.83203125" style="687" customWidth="1"/>
  </cols>
  <sheetData>
    <row r="1" ht="1.5" customHeight="1" hidden="1"/>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sheetData>
  <sheetProtection/>
  <printOptions horizontalCentered="1" verticalCentered="1"/>
  <pageMargins left="0.48" right="0.17" top="0.56" bottom="0.51" header="0.5" footer="0.19"/>
  <pageSetup blackAndWhite="1" fitToHeight="1" fitToWidth="1" horizontalDpi="600" verticalDpi="600" orientation="portrait" paperSize="5" scale="89" r:id="rId3"/>
  <drawing r:id="rId2"/>
  <legacyDrawing r:id="rId1"/>
</worksheet>
</file>

<file path=xl/worksheets/sheet6.xml><?xml version="1.0" encoding="utf-8"?>
<worksheet xmlns="http://schemas.openxmlformats.org/spreadsheetml/2006/main" xmlns:r="http://schemas.openxmlformats.org/officeDocument/2006/relationships">
  <sheetPr codeName="Sheet2"/>
  <dimension ref="A1:Q109"/>
  <sheetViews>
    <sheetView showGridLines="0" showRowColHeaders="0" zoomScale="113" zoomScaleNormal="113"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33203125" defaultRowHeight="12.75"/>
  <cols>
    <col min="1" max="1" width="7.83203125" style="393" customWidth="1"/>
    <col min="2" max="15" width="5.83203125" style="384" customWidth="1"/>
    <col min="16" max="16" width="6.83203125" style="384" customWidth="1"/>
    <col min="17" max="17" width="2.16015625" style="384" customWidth="1"/>
    <col min="18" max="18" width="8.83203125" style="384" customWidth="1"/>
    <col min="19" max="19" width="10.16015625" style="384" customWidth="1"/>
    <col min="20" max="16384" width="8.83203125" style="384" customWidth="1"/>
  </cols>
  <sheetData>
    <row r="1" spans="1:17" ht="15">
      <c r="A1" s="724" t="s">
        <v>418</v>
      </c>
      <c r="B1" s="400"/>
      <c r="C1" s="400"/>
      <c r="D1" s="400"/>
      <c r="E1" s="400"/>
      <c r="F1" s="400"/>
      <c r="G1" s="400"/>
      <c r="H1" s="400"/>
      <c r="I1" s="400"/>
      <c r="J1" s="400"/>
      <c r="K1" s="400"/>
      <c r="L1" s="400"/>
      <c r="M1" s="400"/>
      <c r="N1" s="400"/>
      <c r="O1" s="400"/>
      <c r="P1" s="400"/>
      <c r="Q1" s="45"/>
    </row>
    <row r="2" spans="1:17" ht="13.5">
      <c r="A2" s="1001"/>
      <c r="B2" s="45"/>
      <c r="C2" s="45"/>
      <c r="D2" s="45"/>
      <c r="E2" s="45"/>
      <c r="F2" s="45"/>
      <c r="G2" s="45"/>
      <c r="H2" s="45"/>
      <c r="I2" s="45"/>
      <c r="J2" s="45"/>
      <c r="K2" s="45"/>
      <c r="L2" s="45"/>
      <c r="M2" s="45"/>
      <c r="N2" s="45"/>
      <c r="O2" s="45"/>
      <c r="P2" s="45"/>
      <c r="Q2" s="45"/>
    </row>
    <row r="3" spans="1:17" ht="12.75">
      <c r="A3" s="385"/>
      <c r="B3" s="45"/>
      <c r="C3" s="45"/>
      <c r="D3" s="45"/>
      <c r="E3" s="45"/>
      <c r="F3" s="45"/>
      <c r="G3" s="45"/>
      <c r="H3" s="45"/>
      <c r="I3" s="45"/>
      <c r="J3" s="45"/>
      <c r="K3" s="45"/>
      <c r="L3" s="45"/>
      <c r="M3" s="45"/>
      <c r="N3" s="45"/>
      <c r="O3" s="45"/>
      <c r="P3" s="45"/>
      <c r="Q3" s="45"/>
    </row>
    <row r="4" spans="1:17" ht="27.75" customHeight="1" thickBot="1">
      <c r="A4" s="385"/>
      <c r="B4" s="45"/>
      <c r="C4" s="45"/>
      <c r="D4" s="45"/>
      <c r="E4" s="45"/>
      <c r="F4" s="45"/>
      <c r="G4" s="45"/>
      <c r="H4" s="45"/>
      <c r="I4" s="45"/>
      <c r="J4" s="45"/>
      <c r="K4" s="45"/>
      <c r="L4" s="45"/>
      <c r="M4" s="45"/>
      <c r="N4" s="45"/>
      <c r="O4" s="45"/>
      <c r="P4" s="45"/>
      <c r="Q4" s="45"/>
    </row>
    <row r="5" spans="1:17" ht="8.25" customHeight="1" hidden="1" thickBot="1">
      <c r="A5" s="385"/>
      <c r="B5" s="45"/>
      <c r="C5" s="45"/>
      <c r="D5" s="45"/>
      <c r="E5" s="45"/>
      <c r="F5" s="45"/>
      <c r="G5" s="45"/>
      <c r="H5" s="45"/>
      <c r="I5" s="45"/>
      <c r="J5" s="45"/>
      <c r="K5" s="45"/>
      <c r="L5" s="45"/>
      <c r="M5" s="45"/>
      <c r="N5" s="45"/>
      <c r="O5" s="45"/>
      <c r="P5" s="45"/>
      <c r="Q5" s="45"/>
    </row>
    <row r="6" spans="1:17" ht="13.5" thickBot="1">
      <c r="A6" s="722" t="s">
        <v>326</v>
      </c>
      <c r="B6" s="1122" t="s">
        <v>342</v>
      </c>
      <c r="C6" s="1123"/>
      <c r="D6" s="1123"/>
      <c r="E6" s="1123"/>
      <c r="F6" s="1123"/>
      <c r="G6" s="1123"/>
      <c r="H6" s="1123"/>
      <c r="I6" s="1123"/>
      <c r="J6" s="1123"/>
      <c r="K6" s="1123"/>
      <c r="L6" s="1123"/>
      <c r="M6" s="1123"/>
      <c r="N6" s="1123"/>
      <c r="O6" s="1123"/>
      <c r="P6" s="1124"/>
      <c r="Q6" s="45"/>
    </row>
    <row r="7" spans="1:17" ht="14.25" thickBot="1" thickTop="1">
      <c r="A7" s="723" t="s">
        <v>327</v>
      </c>
      <c r="B7" s="292">
        <v>4</v>
      </c>
      <c r="C7" s="293">
        <v>5</v>
      </c>
      <c r="D7" s="386">
        <v>6</v>
      </c>
      <c r="E7" s="386">
        <v>7</v>
      </c>
      <c r="F7" s="293">
        <v>8</v>
      </c>
      <c r="G7" s="293">
        <v>9</v>
      </c>
      <c r="H7" s="386">
        <v>10</v>
      </c>
      <c r="I7" s="386">
        <v>11</v>
      </c>
      <c r="J7" s="293">
        <v>12</v>
      </c>
      <c r="K7" s="293">
        <v>13</v>
      </c>
      <c r="L7" s="386">
        <v>14</v>
      </c>
      <c r="M7" s="386">
        <v>15</v>
      </c>
      <c r="N7" s="293">
        <v>16</v>
      </c>
      <c r="O7" s="293">
        <v>17</v>
      </c>
      <c r="P7" s="294">
        <v>20</v>
      </c>
      <c r="Q7" s="45"/>
    </row>
    <row r="8" spans="1:17" ht="12.75">
      <c r="A8" s="295">
        <v>0</v>
      </c>
      <c r="B8" s="284">
        <v>0.625</v>
      </c>
      <c r="C8" s="285">
        <v>0.592</v>
      </c>
      <c r="D8" s="387"/>
      <c r="E8" s="387"/>
      <c r="F8" s="285">
        <v>0.548</v>
      </c>
      <c r="G8" s="285">
        <v>0.54</v>
      </c>
      <c r="H8" s="387"/>
      <c r="I8" s="387"/>
      <c r="J8" s="285">
        <v>0.527</v>
      </c>
      <c r="K8" s="285">
        <v>0.524</v>
      </c>
      <c r="L8" s="387"/>
      <c r="M8" s="387"/>
      <c r="N8" s="285">
        <v>0.518</v>
      </c>
      <c r="O8" s="285">
        <v>0.516</v>
      </c>
      <c r="P8" s="286">
        <v>0.513</v>
      </c>
      <c r="Q8" s="45"/>
    </row>
    <row r="9" spans="1:17" ht="12.75">
      <c r="A9" s="296">
        <v>1</v>
      </c>
      <c r="B9" s="287"/>
      <c r="C9" s="288"/>
      <c r="D9" s="388">
        <v>0.5</v>
      </c>
      <c r="E9" s="388">
        <v>0.5</v>
      </c>
      <c r="F9" s="288"/>
      <c r="G9" s="288"/>
      <c r="H9" s="388">
        <v>0.5</v>
      </c>
      <c r="I9" s="388">
        <v>0.5</v>
      </c>
      <c r="J9" s="288"/>
      <c r="K9" s="288"/>
      <c r="L9" s="388">
        <v>0.5</v>
      </c>
      <c r="M9" s="388">
        <v>0.5</v>
      </c>
      <c r="N9" s="288"/>
      <c r="O9" s="288"/>
      <c r="P9" s="289"/>
      <c r="Q9" s="45"/>
    </row>
    <row r="10" spans="1:17" ht="12.75">
      <c r="A10" s="296">
        <v>2</v>
      </c>
      <c r="B10" s="287">
        <v>0.375</v>
      </c>
      <c r="C10" s="288">
        <v>0.408</v>
      </c>
      <c r="D10" s="388"/>
      <c r="E10" s="388"/>
      <c r="F10" s="288">
        <v>0.452</v>
      </c>
      <c r="G10" s="288">
        <v>0.46</v>
      </c>
      <c r="H10" s="388"/>
      <c r="I10" s="388"/>
      <c r="J10" s="288">
        <v>0.473</v>
      </c>
      <c r="K10" s="288">
        <v>0.476</v>
      </c>
      <c r="L10" s="388"/>
      <c r="M10" s="388"/>
      <c r="N10" s="288">
        <v>0.482</v>
      </c>
      <c r="O10" s="288">
        <v>0.484</v>
      </c>
      <c r="P10" s="289">
        <v>0.487</v>
      </c>
      <c r="Q10" s="45"/>
    </row>
    <row r="11" spans="1:17" ht="12.75">
      <c r="A11" s="296">
        <v>3</v>
      </c>
      <c r="B11" s="287"/>
      <c r="C11" s="288"/>
      <c r="D11" s="388">
        <v>0.36</v>
      </c>
      <c r="E11" s="388">
        <v>0.386</v>
      </c>
      <c r="F11" s="288"/>
      <c r="G11" s="288"/>
      <c r="H11" s="388">
        <v>0.431</v>
      </c>
      <c r="I11" s="388">
        <v>0.44</v>
      </c>
      <c r="J11" s="288"/>
      <c r="K11" s="288"/>
      <c r="L11" s="388">
        <v>0.457</v>
      </c>
      <c r="M11" s="388">
        <v>0.461</v>
      </c>
      <c r="N11" s="288"/>
      <c r="O11" s="288"/>
      <c r="P11" s="289"/>
      <c r="Q11" s="45"/>
    </row>
    <row r="12" spans="1:17" ht="12.75">
      <c r="A12" s="296">
        <v>4</v>
      </c>
      <c r="B12" s="287">
        <v>0.167</v>
      </c>
      <c r="C12" s="288">
        <v>0.242</v>
      </c>
      <c r="D12" s="388"/>
      <c r="E12" s="388"/>
      <c r="F12" s="288">
        <v>0.36</v>
      </c>
      <c r="G12" s="288">
        <v>0.381</v>
      </c>
      <c r="H12" s="388"/>
      <c r="I12" s="388"/>
      <c r="J12" s="288">
        <v>0.42</v>
      </c>
      <c r="K12" s="288">
        <v>0.429</v>
      </c>
      <c r="L12" s="388"/>
      <c r="M12" s="388"/>
      <c r="N12" s="288">
        <v>0.447</v>
      </c>
      <c r="O12" s="288">
        <v>0.452</v>
      </c>
      <c r="P12" s="289">
        <v>0.462</v>
      </c>
      <c r="Q12" s="45"/>
    </row>
    <row r="13" spans="1:17" ht="12.75">
      <c r="A13" s="296">
        <v>5</v>
      </c>
      <c r="B13" s="287"/>
      <c r="C13" s="288"/>
      <c r="D13" s="388">
        <v>0.235</v>
      </c>
      <c r="E13" s="388">
        <v>0.281</v>
      </c>
      <c r="F13" s="288"/>
      <c r="G13" s="288"/>
      <c r="H13" s="388">
        <v>0.364</v>
      </c>
      <c r="I13" s="388">
        <v>0.381</v>
      </c>
      <c r="J13" s="288"/>
      <c r="K13" s="288"/>
      <c r="L13" s="388">
        <v>0.415</v>
      </c>
      <c r="M13" s="388">
        <v>0.423</v>
      </c>
      <c r="N13" s="288"/>
      <c r="O13" s="288"/>
      <c r="P13" s="289"/>
      <c r="Q13" s="45"/>
    </row>
    <row r="14" spans="1:17" ht="12.75">
      <c r="A14" s="296">
        <v>6</v>
      </c>
      <c r="B14" s="287">
        <v>0.042</v>
      </c>
      <c r="C14" s="288">
        <v>0.117</v>
      </c>
      <c r="D14" s="388"/>
      <c r="E14" s="388"/>
      <c r="F14" s="288">
        <v>0.274</v>
      </c>
      <c r="G14" s="288">
        <v>0.306</v>
      </c>
      <c r="H14" s="388"/>
      <c r="I14" s="388"/>
      <c r="J14" s="288">
        <v>0.369</v>
      </c>
      <c r="K14" s="288">
        <v>0.383</v>
      </c>
      <c r="L14" s="388"/>
      <c r="M14" s="388"/>
      <c r="N14" s="288">
        <v>0.412</v>
      </c>
      <c r="O14" s="288">
        <v>0.42</v>
      </c>
      <c r="P14" s="289">
        <v>0.436</v>
      </c>
      <c r="Q14" s="45"/>
    </row>
    <row r="15" spans="1:17" ht="12.75">
      <c r="A15" s="296">
        <v>7</v>
      </c>
      <c r="B15" s="287"/>
      <c r="C15" s="288"/>
      <c r="D15" s="388">
        <v>0.136</v>
      </c>
      <c r="E15" s="388">
        <v>0.191</v>
      </c>
      <c r="F15" s="288"/>
      <c r="G15" s="288"/>
      <c r="H15" s="388">
        <v>0.3</v>
      </c>
      <c r="I15" s="388">
        <v>0.324</v>
      </c>
      <c r="J15" s="288"/>
      <c r="K15" s="288"/>
      <c r="L15" s="388">
        <v>0.374</v>
      </c>
      <c r="M15" s="388">
        <v>0.385</v>
      </c>
      <c r="N15" s="288"/>
      <c r="O15" s="288"/>
      <c r="P15" s="289"/>
      <c r="Q15" s="45"/>
    </row>
    <row r="16" spans="1:17" ht="12.75">
      <c r="A16" s="296">
        <v>8</v>
      </c>
      <c r="B16" s="287"/>
      <c r="C16" s="288">
        <v>0.042</v>
      </c>
      <c r="D16" s="388"/>
      <c r="E16" s="388"/>
      <c r="F16" s="288">
        <v>0.199</v>
      </c>
      <c r="G16" s="288">
        <v>0.238</v>
      </c>
      <c r="H16" s="388"/>
      <c r="I16" s="388"/>
      <c r="J16" s="288">
        <v>0.319</v>
      </c>
      <c r="K16" s="288">
        <v>0.338</v>
      </c>
      <c r="L16" s="388"/>
      <c r="M16" s="388"/>
      <c r="N16" s="288">
        <v>0.378</v>
      </c>
      <c r="O16" s="288">
        <v>0.388</v>
      </c>
      <c r="P16" s="289">
        <v>0.411</v>
      </c>
      <c r="Q16" s="45"/>
    </row>
    <row r="17" spans="1:17" ht="12.75">
      <c r="A17" s="296">
        <v>9</v>
      </c>
      <c r="B17" s="287"/>
      <c r="C17" s="288"/>
      <c r="D17" s="388">
        <v>0.068</v>
      </c>
      <c r="E17" s="388">
        <v>0.119</v>
      </c>
      <c r="F17" s="288"/>
      <c r="G17" s="288"/>
      <c r="H17" s="388">
        <v>0.242</v>
      </c>
      <c r="I17" s="388">
        <v>0.271</v>
      </c>
      <c r="J17" s="288"/>
      <c r="K17" s="288"/>
      <c r="L17" s="388">
        <v>0.334</v>
      </c>
      <c r="M17" s="388">
        <v>0.349</v>
      </c>
      <c r="N17" s="288"/>
      <c r="O17" s="288"/>
      <c r="P17" s="289"/>
      <c r="Q17" s="45"/>
    </row>
    <row r="18" spans="1:17" ht="12.75">
      <c r="A18" s="296">
        <v>10</v>
      </c>
      <c r="B18" s="287"/>
      <c r="C18" s="288">
        <v>0.008</v>
      </c>
      <c r="D18" s="388"/>
      <c r="E18" s="388"/>
      <c r="F18" s="288">
        <v>0.138</v>
      </c>
      <c r="G18" s="288">
        <v>0.179</v>
      </c>
      <c r="H18" s="388"/>
      <c r="I18" s="388"/>
      <c r="J18" s="388">
        <v>0.273</v>
      </c>
      <c r="K18" s="388">
        <v>0.295</v>
      </c>
      <c r="L18" s="388"/>
      <c r="M18" s="388"/>
      <c r="N18" s="388">
        <v>0.345</v>
      </c>
      <c r="O18" s="388">
        <v>0.358</v>
      </c>
      <c r="P18" s="389">
        <v>0.387</v>
      </c>
      <c r="Q18" s="45"/>
    </row>
    <row r="19" spans="1:17" ht="12.75">
      <c r="A19" s="296">
        <v>11</v>
      </c>
      <c r="B19" s="287"/>
      <c r="C19" s="288"/>
      <c r="D19" s="388">
        <v>0.028</v>
      </c>
      <c r="E19" s="388">
        <v>0.068</v>
      </c>
      <c r="F19" s="288"/>
      <c r="G19" s="288"/>
      <c r="H19" s="388">
        <v>0.19</v>
      </c>
      <c r="I19" s="388">
        <v>0.223</v>
      </c>
      <c r="J19" s="388"/>
      <c r="K19" s="388"/>
      <c r="L19" s="388">
        <v>0.295</v>
      </c>
      <c r="M19" s="388">
        <v>0.313</v>
      </c>
      <c r="N19" s="388"/>
      <c r="O19" s="388"/>
      <c r="P19" s="389"/>
      <c r="Q19" s="45"/>
    </row>
    <row r="20" spans="1:17" ht="12.75">
      <c r="A20" s="296">
        <v>12</v>
      </c>
      <c r="B20" s="287"/>
      <c r="C20" s="288"/>
      <c r="D20" s="388"/>
      <c r="E20" s="388"/>
      <c r="F20" s="288">
        <v>0.089</v>
      </c>
      <c r="G20" s="288">
        <v>0.13</v>
      </c>
      <c r="H20" s="388"/>
      <c r="I20" s="388"/>
      <c r="J20" s="288">
        <v>0.23</v>
      </c>
      <c r="K20" s="288">
        <v>0.255</v>
      </c>
      <c r="L20" s="388"/>
      <c r="M20" s="388"/>
      <c r="N20" s="288">
        <v>0.313</v>
      </c>
      <c r="O20" s="288">
        <v>0.328</v>
      </c>
      <c r="P20" s="289">
        <v>0.362</v>
      </c>
      <c r="Q20" s="45"/>
    </row>
    <row r="21" spans="1:17" ht="12.75">
      <c r="A21" s="296">
        <v>13</v>
      </c>
      <c r="B21" s="287"/>
      <c r="C21" s="288"/>
      <c r="D21" s="388">
        <v>0.008</v>
      </c>
      <c r="E21" s="388">
        <v>0.035</v>
      </c>
      <c r="F21" s="288"/>
      <c r="G21" s="288"/>
      <c r="H21" s="388">
        <v>0.146</v>
      </c>
      <c r="I21" s="388">
        <v>0.179</v>
      </c>
      <c r="J21" s="288"/>
      <c r="K21" s="288"/>
      <c r="L21" s="388">
        <v>0.259</v>
      </c>
      <c r="M21" s="388">
        <v>0.279</v>
      </c>
      <c r="N21" s="288"/>
      <c r="O21" s="288"/>
      <c r="P21" s="289"/>
      <c r="Q21" s="45"/>
    </row>
    <row r="22" spans="1:17" ht="12.75">
      <c r="A22" s="296">
        <v>14</v>
      </c>
      <c r="B22" s="287"/>
      <c r="C22" s="288"/>
      <c r="D22" s="388"/>
      <c r="E22" s="388"/>
      <c r="F22" s="288">
        <v>0.054</v>
      </c>
      <c r="G22" s="288">
        <v>0.09</v>
      </c>
      <c r="H22" s="388"/>
      <c r="I22" s="388"/>
      <c r="J22" s="288">
        <v>0.19</v>
      </c>
      <c r="K22" s="288">
        <v>0.218</v>
      </c>
      <c r="L22" s="388"/>
      <c r="M22" s="388"/>
      <c r="N22" s="288">
        <v>0.282</v>
      </c>
      <c r="O22" s="288">
        <v>0.299</v>
      </c>
      <c r="P22" s="289">
        <v>0.339</v>
      </c>
      <c r="Q22" s="45"/>
    </row>
    <row r="23" spans="1:17" ht="12.75">
      <c r="A23" s="296">
        <v>15</v>
      </c>
      <c r="B23" s="287"/>
      <c r="C23" s="288"/>
      <c r="D23" s="388">
        <v>0.001</v>
      </c>
      <c r="E23" s="388">
        <v>0.015</v>
      </c>
      <c r="F23" s="288"/>
      <c r="G23" s="288"/>
      <c r="H23" s="388">
        <v>0.108</v>
      </c>
      <c r="I23" s="388">
        <v>0.141</v>
      </c>
      <c r="J23" s="288"/>
      <c r="K23" s="288"/>
      <c r="L23" s="388">
        <v>0.225</v>
      </c>
      <c r="M23" s="388">
        <v>0.248</v>
      </c>
      <c r="N23" s="288"/>
      <c r="O23" s="288"/>
      <c r="P23" s="289"/>
      <c r="Q23" s="45"/>
    </row>
    <row r="24" spans="1:17" ht="12.75">
      <c r="A24" s="296">
        <v>16</v>
      </c>
      <c r="B24" s="287"/>
      <c r="C24" s="288"/>
      <c r="D24" s="288"/>
      <c r="E24" s="388"/>
      <c r="F24" s="288">
        <v>0.031</v>
      </c>
      <c r="G24" s="288">
        <v>0.06</v>
      </c>
      <c r="H24" s="388"/>
      <c r="I24" s="388"/>
      <c r="J24" s="288">
        <v>0.155</v>
      </c>
      <c r="K24" s="288">
        <v>0.184</v>
      </c>
      <c r="L24" s="388"/>
      <c r="M24" s="388"/>
      <c r="N24" s="288">
        <v>0.253</v>
      </c>
      <c r="O24" s="288">
        <v>0.271</v>
      </c>
      <c r="P24" s="289">
        <v>0.315</v>
      </c>
      <c r="Q24" s="45"/>
    </row>
    <row r="25" spans="1:17" ht="12.75">
      <c r="A25" s="296">
        <v>17</v>
      </c>
      <c r="B25" s="287"/>
      <c r="C25" s="288"/>
      <c r="D25" s="288"/>
      <c r="E25" s="388">
        <v>0.005</v>
      </c>
      <c r="F25" s="288"/>
      <c r="G25" s="288"/>
      <c r="H25" s="388">
        <v>0.078</v>
      </c>
      <c r="I25" s="388">
        <v>0.109</v>
      </c>
      <c r="J25" s="288"/>
      <c r="K25" s="288"/>
      <c r="L25" s="388">
        <v>0.194</v>
      </c>
      <c r="M25" s="388">
        <v>0.218</v>
      </c>
      <c r="N25" s="288"/>
      <c r="O25" s="288"/>
      <c r="P25" s="289"/>
      <c r="Q25" s="45"/>
    </row>
    <row r="26" spans="1:17" ht="12.75">
      <c r="A26" s="296">
        <v>18</v>
      </c>
      <c r="B26" s="287"/>
      <c r="C26" s="288"/>
      <c r="D26" s="288"/>
      <c r="E26" s="388"/>
      <c r="F26" s="288">
        <v>0.016</v>
      </c>
      <c r="G26" s="288">
        <v>0.038</v>
      </c>
      <c r="H26" s="388"/>
      <c r="I26" s="388"/>
      <c r="J26" s="288">
        <v>0.125</v>
      </c>
      <c r="K26" s="288">
        <v>0.153</v>
      </c>
      <c r="L26" s="388"/>
      <c r="M26" s="388"/>
      <c r="N26" s="288">
        <v>0.225</v>
      </c>
      <c r="O26" s="288">
        <v>0.245</v>
      </c>
      <c r="P26" s="289">
        <v>0.293</v>
      </c>
      <c r="Q26" s="45"/>
    </row>
    <row r="27" spans="1:17" ht="12.75">
      <c r="A27" s="296">
        <v>19</v>
      </c>
      <c r="B27" s="287"/>
      <c r="C27" s="288"/>
      <c r="D27" s="288"/>
      <c r="E27" s="388">
        <v>0.001</v>
      </c>
      <c r="F27" s="288"/>
      <c r="G27" s="288"/>
      <c r="H27" s="388">
        <v>0.054</v>
      </c>
      <c r="I27" s="388">
        <v>0.082</v>
      </c>
      <c r="J27" s="288"/>
      <c r="K27" s="288"/>
      <c r="L27" s="388">
        <v>0.165</v>
      </c>
      <c r="M27" s="388">
        <v>0.19</v>
      </c>
      <c r="N27" s="288"/>
      <c r="O27" s="288"/>
      <c r="P27" s="289"/>
      <c r="Q27" s="45"/>
    </row>
    <row r="28" spans="1:17" ht="12.75">
      <c r="A28" s="296">
        <v>20</v>
      </c>
      <c r="B28" s="287"/>
      <c r="C28" s="288"/>
      <c r="D28" s="288"/>
      <c r="E28" s="388"/>
      <c r="F28" s="288">
        <v>0.007</v>
      </c>
      <c r="G28" s="288">
        <v>0.022</v>
      </c>
      <c r="H28" s="388"/>
      <c r="I28" s="388"/>
      <c r="J28" s="388">
        <v>0.098</v>
      </c>
      <c r="K28" s="388">
        <v>0.126</v>
      </c>
      <c r="L28" s="388"/>
      <c r="M28" s="388"/>
      <c r="N28" s="388">
        <v>0.199</v>
      </c>
      <c r="O28" s="388">
        <v>0.22</v>
      </c>
      <c r="P28" s="389">
        <v>0.271</v>
      </c>
      <c r="Q28" s="45"/>
    </row>
    <row r="29" spans="1:17" ht="12.75">
      <c r="A29" s="296">
        <v>21</v>
      </c>
      <c r="B29" s="287"/>
      <c r="C29" s="288"/>
      <c r="D29" s="288"/>
      <c r="E29" s="388">
        <v>0</v>
      </c>
      <c r="F29" s="288"/>
      <c r="G29" s="288"/>
      <c r="H29" s="388">
        <v>0.036</v>
      </c>
      <c r="I29" s="388">
        <v>0.06</v>
      </c>
      <c r="J29" s="388"/>
      <c r="K29" s="388"/>
      <c r="L29" s="388">
        <v>0.14</v>
      </c>
      <c r="M29" s="388">
        <v>0.164</v>
      </c>
      <c r="N29" s="388"/>
      <c r="O29" s="388"/>
      <c r="P29" s="389"/>
      <c r="Q29" s="45"/>
    </row>
    <row r="30" spans="1:17" ht="12.75">
      <c r="A30" s="296">
        <v>22</v>
      </c>
      <c r="B30" s="287"/>
      <c r="C30" s="288"/>
      <c r="D30" s="288"/>
      <c r="E30" s="288"/>
      <c r="F30" s="288">
        <v>0.002</v>
      </c>
      <c r="G30" s="288">
        <v>0.012</v>
      </c>
      <c r="H30" s="388"/>
      <c r="I30" s="388"/>
      <c r="J30" s="288">
        <v>0.076</v>
      </c>
      <c r="K30" s="288">
        <v>0.102</v>
      </c>
      <c r="L30" s="388"/>
      <c r="M30" s="388"/>
      <c r="N30" s="288">
        <v>0.175</v>
      </c>
      <c r="O30" s="288">
        <v>0.196</v>
      </c>
      <c r="P30" s="289">
        <v>0.25</v>
      </c>
      <c r="Q30" s="45"/>
    </row>
    <row r="31" spans="1:17" ht="12.75">
      <c r="A31" s="296">
        <v>23</v>
      </c>
      <c r="B31" s="287"/>
      <c r="C31" s="288"/>
      <c r="D31" s="288"/>
      <c r="E31" s="288"/>
      <c r="F31" s="288"/>
      <c r="G31" s="288"/>
      <c r="H31" s="388">
        <v>0.023</v>
      </c>
      <c r="I31" s="388">
        <v>0.043</v>
      </c>
      <c r="J31" s="288"/>
      <c r="K31" s="288"/>
      <c r="L31" s="388">
        <v>0.117</v>
      </c>
      <c r="M31" s="388">
        <v>0.141</v>
      </c>
      <c r="N31" s="288"/>
      <c r="O31" s="288"/>
      <c r="P31" s="289"/>
      <c r="Q31" s="45"/>
    </row>
    <row r="32" spans="1:17" ht="12.75">
      <c r="A32" s="296">
        <v>24</v>
      </c>
      <c r="B32" s="287"/>
      <c r="C32" s="288"/>
      <c r="D32" s="288"/>
      <c r="E32" s="288"/>
      <c r="F32" s="288">
        <v>0.001</v>
      </c>
      <c r="G32" s="288">
        <v>0.006</v>
      </c>
      <c r="H32" s="388"/>
      <c r="I32" s="388"/>
      <c r="J32" s="288">
        <v>0.058</v>
      </c>
      <c r="K32" s="288">
        <v>0.082</v>
      </c>
      <c r="L32" s="388"/>
      <c r="M32" s="388"/>
      <c r="N32" s="288">
        <v>0.153</v>
      </c>
      <c r="O32" s="288">
        <v>0.174</v>
      </c>
      <c r="P32" s="289">
        <v>0.23</v>
      </c>
      <c r="Q32" s="45"/>
    </row>
    <row r="33" spans="1:17" ht="12.75">
      <c r="A33" s="296">
        <v>25</v>
      </c>
      <c r="B33" s="287"/>
      <c r="C33" s="288"/>
      <c r="D33" s="288"/>
      <c r="E33" s="288"/>
      <c r="F33" s="288"/>
      <c r="G33" s="288"/>
      <c r="H33" s="388">
        <v>0.014</v>
      </c>
      <c r="I33" s="388">
        <v>0.03</v>
      </c>
      <c r="J33" s="288"/>
      <c r="K33" s="288"/>
      <c r="L33" s="388">
        <v>0.096</v>
      </c>
      <c r="M33" s="388">
        <v>0.12</v>
      </c>
      <c r="N33" s="288"/>
      <c r="O33" s="288"/>
      <c r="P33" s="289"/>
      <c r="Q33" s="45"/>
    </row>
    <row r="34" spans="1:17" ht="12.75">
      <c r="A34" s="296">
        <v>26</v>
      </c>
      <c r="B34" s="287"/>
      <c r="C34" s="288"/>
      <c r="D34" s="288"/>
      <c r="E34" s="288"/>
      <c r="F34" s="288">
        <v>0</v>
      </c>
      <c r="G34" s="288">
        <v>0.003</v>
      </c>
      <c r="H34" s="388"/>
      <c r="I34" s="388"/>
      <c r="J34" s="288">
        <v>0.043</v>
      </c>
      <c r="K34" s="288">
        <v>0.064</v>
      </c>
      <c r="L34" s="388"/>
      <c r="M34" s="388"/>
      <c r="N34" s="288">
        <v>0.133</v>
      </c>
      <c r="O34" s="288">
        <v>0.154</v>
      </c>
      <c r="P34" s="289">
        <v>0.211</v>
      </c>
      <c r="Q34" s="45"/>
    </row>
    <row r="35" spans="1:17" ht="12.75">
      <c r="A35" s="296">
        <v>27</v>
      </c>
      <c r="B35" s="287"/>
      <c r="C35" s="288"/>
      <c r="D35" s="288"/>
      <c r="E35" s="288"/>
      <c r="F35" s="288"/>
      <c r="G35" s="288"/>
      <c r="H35" s="388">
        <v>0.008</v>
      </c>
      <c r="I35" s="388">
        <v>0.02</v>
      </c>
      <c r="J35" s="288"/>
      <c r="K35" s="288"/>
      <c r="L35" s="388">
        <v>0.079</v>
      </c>
      <c r="M35" s="388">
        <v>0.101</v>
      </c>
      <c r="N35" s="288"/>
      <c r="O35" s="288"/>
      <c r="P35" s="289"/>
      <c r="Q35" s="45"/>
    </row>
    <row r="36" spans="1:17" ht="12.75">
      <c r="A36" s="296">
        <v>28</v>
      </c>
      <c r="B36" s="287"/>
      <c r="C36" s="288"/>
      <c r="D36" s="288"/>
      <c r="E36" s="288"/>
      <c r="F36" s="288"/>
      <c r="G36" s="288">
        <v>0.001</v>
      </c>
      <c r="H36" s="388"/>
      <c r="I36" s="388"/>
      <c r="J36" s="288">
        <v>0.031</v>
      </c>
      <c r="K36" s="288">
        <v>0.05</v>
      </c>
      <c r="L36" s="388"/>
      <c r="M36" s="388"/>
      <c r="N36" s="288">
        <v>0.114</v>
      </c>
      <c r="O36" s="288">
        <v>0.135</v>
      </c>
      <c r="P36" s="289">
        <v>0.193</v>
      </c>
      <c r="Q36" s="45"/>
    </row>
    <row r="37" spans="1:17" ht="12.75">
      <c r="A37" s="296">
        <v>29</v>
      </c>
      <c r="B37" s="287"/>
      <c r="C37" s="288"/>
      <c r="D37" s="288"/>
      <c r="E37" s="288"/>
      <c r="F37" s="288"/>
      <c r="G37" s="288"/>
      <c r="H37" s="388">
        <v>0.005</v>
      </c>
      <c r="I37" s="388">
        <v>0.013</v>
      </c>
      <c r="J37" s="288"/>
      <c r="K37" s="288"/>
      <c r="L37" s="388">
        <v>0.063</v>
      </c>
      <c r="M37" s="388">
        <v>0.084</v>
      </c>
      <c r="N37" s="288"/>
      <c r="O37" s="288"/>
      <c r="P37" s="289"/>
      <c r="Q37" s="45"/>
    </row>
    <row r="38" spans="1:17" ht="12.75">
      <c r="A38" s="296">
        <v>30</v>
      </c>
      <c r="B38" s="287"/>
      <c r="C38" s="288"/>
      <c r="D38" s="288"/>
      <c r="E38" s="288"/>
      <c r="F38" s="288"/>
      <c r="G38" s="288">
        <v>0</v>
      </c>
      <c r="H38" s="388"/>
      <c r="I38" s="388"/>
      <c r="J38" s="388">
        <v>0.022</v>
      </c>
      <c r="K38" s="388">
        <v>0.038</v>
      </c>
      <c r="L38" s="388"/>
      <c r="M38" s="388"/>
      <c r="N38" s="388">
        <v>0.097</v>
      </c>
      <c r="O38" s="388">
        <v>0.118</v>
      </c>
      <c r="P38" s="389">
        <v>0.176</v>
      </c>
      <c r="Q38" s="45"/>
    </row>
    <row r="39" spans="1:17" ht="12.75">
      <c r="A39" s="296">
        <v>31</v>
      </c>
      <c r="B39" s="287"/>
      <c r="C39" s="288"/>
      <c r="D39" s="288"/>
      <c r="E39" s="288"/>
      <c r="F39" s="288"/>
      <c r="G39" s="288"/>
      <c r="H39" s="388">
        <v>0.002</v>
      </c>
      <c r="I39" s="388">
        <v>0.008</v>
      </c>
      <c r="J39" s="388"/>
      <c r="K39" s="388"/>
      <c r="L39" s="388">
        <v>0.05</v>
      </c>
      <c r="M39" s="388">
        <v>0.07</v>
      </c>
      <c r="N39" s="388"/>
      <c r="O39" s="388"/>
      <c r="P39" s="389"/>
      <c r="Q39" s="45"/>
    </row>
    <row r="40" spans="1:17" ht="12.75">
      <c r="A40" s="296">
        <v>32</v>
      </c>
      <c r="B40" s="287"/>
      <c r="C40" s="288"/>
      <c r="D40" s="288"/>
      <c r="E40" s="288"/>
      <c r="F40" s="288"/>
      <c r="G40" s="288"/>
      <c r="H40" s="388"/>
      <c r="I40" s="388"/>
      <c r="J40" s="288">
        <v>0.016</v>
      </c>
      <c r="K40" s="288">
        <v>0.029</v>
      </c>
      <c r="L40" s="388"/>
      <c r="M40" s="388"/>
      <c r="N40" s="288">
        <v>0.083</v>
      </c>
      <c r="O40" s="288">
        <v>0.102</v>
      </c>
      <c r="P40" s="289">
        <v>0.159</v>
      </c>
      <c r="Q40" s="45"/>
    </row>
    <row r="41" spans="1:17" ht="12.75">
      <c r="A41" s="296">
        <v>33</v>
      </c>
      <c r="B41" s="287"/>
      <c r="C41" s="288"/>
      <c r="D41" s="288"/>
      <c r="E41" s="288"/>
      <c r="F41" s="288"/>
      <c r="G41" s="288"/>
      <c r="H41" s="388">
        <v>0.001</v>
      </c>
      <c r="I41" s="388">
        <v>0.005</v>
      </c>
      <c r="J41" s="288"/>
      <c r="K41" s="288"/>
      <c r="L41" s="388">
        <v>0.04</v>
      </c>
      <c r="M41" s="388">
        <v>0.057</v>
      </c>
      <c r="N41" s="288"/>
      <c r="O41" s="288"/>
      <c r="P41" s="289"/>
      <c r="Q41" s="45"/>
    </row>
    <row r="42" spans="1:17" ht="12.75">
      <c r="A42" s="296">
        <v>34</v>
      </c>
      <c r="B42" s="287"/>
      <c r="C42" s="288"/>
      <c r="D42" s="288"/>
      <c r="E42" s="288"/>
      <c r="F42" s="288"/>
      <c r="G42" s="288"/>
      <c r="H42" s="388"/>
      <c r="I42" s="388"/>
      <c r="J42" s="288">
        <v>0.01</v>
      </c>
      <c r="K42" s="288">
        <v>0.021</v>
      </c>
      <c r="L42" s="388"/>
      <c r="M42" s="388"/>
      <c r="N42" s="288">
        <v>0.07</v>
      </c>
      <c r="O42" s="288">
        <v>0.088</v>
      </c>
      <c r="P42" s="289">
        <v>0.144</v>
      </c>
      <c r="Q42" s="45"/>
    </row>
    <row r="43" spans="1:17" ht="12.75">
      <c r="A43" s="296">
        <v>35</v>
      </c>
      <c r="B43" s="287"/>
      <c r="C43" s="288"/>
      <c r="D43" s="288"/>
      <c r="E43" s="288"/>
      <c r="F43" s="288"/>
      <c r="G43" s="288"/>
      <c r="H43" s="388">
        <v>0</v>
      </c>
      <c r="I43" s="388">
        <v>0.003</v>
      </c>
      <c r="J43" s="288"/>
      <c r="K43" s="288"/>
      <c r="L43" s="388">
        <v>0.031</v>
      </c>
      <c r="M43" s="388">
        <v>0.046</v>
      </c>
      <c r="N43" s="288"/>
      <c r="O43" s="288"/>
      <c r="P43" s="289"/>
      <c r="Q43" s="45"/>
    </row>
    <row r="44" spans="1:17" ht="12.75">
      <c r="A44" s="296">
        <v>36</v>
      </c>
      <c r="B44" s="287"/>
      <c r="C44" s="288"/>
      <c r="D44" s="288"/>
      <c r="E44" s="288"/>
      <c r="F44" s="288"/>
      <c r="G44" s="288"/>
      <c r="H44" s="288"/>
      <c r="I44" s="388"/>
      <c r="J44" s="288">
        <v>0.007</v>
      </c>
      <c r="K44" s="288">
        <v>0.015</v>
      </c>
      <c r="L44" s="388"/>
      <c r="M44" s="388"/>
      <c r="N44" s="288">
        <v>0.058</v>
      </c>
      <c r="O44" s="288">
        <v>0.076</v>
      </c>
      <c r="P44" s="289">
        <v>0.13</v>
      </c>
      <c r="Q44" s="45"/>
    </row>
    <row r="45" spans="1:17" ht="12.75">
      <c r="A45" s="296">
        <v>37</v>
      </c>
      <c r="B45" s="287"/>
      <c r="C45" s="288"/>
      <c r="D45" s="288"/>
      <c r="E45" s="288"/>
      <c r="F45" s="288"/>
      <c r="G45" s="288"/>
      <c r="H45" s="288"/>
      <c r="I45" s="388">
        <v>0.002</v>
      </c>
      <c r="J45" s="288"/>
      <c r="K45" s="288"/>
      <c r="L45" s="388">
        <v>0.024</v>
      </c>
      <c r="M45" s="388">
        <v>0.037</v>
      </c>
      <c r="N45" s="288"/>
      <c r="O45" s="288"/>
      <c r="P45" s="289"/>
      <c r="Q45" s="45"/>
    </row>
    <row r="46" spans="1:17" ht="12.75">
      <c r="A46" s="296">
        <v>38</v>
      </c>
      <c r="B46" s="287"/>
      <c r="C46" s="288"/>
      <c r="D46" s="288"/>
      <c r="E46" s="288"/>
      <c r="F46" s="288"/>
      <c r="G46" s="288"/>
      <c r="H46" s="288"/>
      <c r="I46" s="388"/>
      <c r="J46" s="288">
        <v>0.004</v>
      </c>
      <c r="K46" s="288">
        <v>0.011</v>
      </c>
      <c r="L46" s="388"/>
      <c r="M46" s="388"/>
      <c r="N46" s="288">
        <v>0.048</v>
      </c>
      <c r="O46" s="288">
        <v>0.064</v>
      </c>
      <c r="P46" s="289">
        <v>0.117</v>
      </c>
      <c r="Q46" s="45"/>
    </row>
    <row r="47" spans="1:17" ht="12.75">
      <c r="A47" s="296">
        <v>39</v>
      </c>
      <c r="B47" s="287"/>
      <c r="C47" s="288"/>
      <c r="D47" s="288"/>
      <c r="E47" s="288"/>
      <c r="F47" s="288"/>
      <c r="G47" s="288"/>
      <c r="H47" s="288"/>
      <c r="I47" s="388">
        <v>0.001</v>
      </c>
      <c r="J47" s="288"/>
      <c r="K47" s="288"/>
      <c r="L47" s="388">
        <v>0.018</v>
      </c>
      <c r="M47" s="388">
        <v>0.029</v>
      </c>
      <c r="N47" s="288"/>
      <c r="O47" s="288"/>
      <c r="P47" s="289"/>
      <c r="Q47" s="45"/>
    </row>
    <row r="48" spans="1:17" ht="12.75">
      <c r="A48" s="296">
        <v>40</v>
      </c>
      <c r="B48" s="287"/>
      <c r="C48" s="288"/>
      <c r="D48" s="288"/>
      <c r="E48" s="288"/>
      <c r="F48" s="288"/>
      <c r="G48" s="288"/>
      <c r="H48" s="288"/>
      <c r="I48" s="388"/>
      <c r="J48" s="388">
        <v>0.003</v>
      </c>
      <c r="K48" s="388">
        <v>0.007</v>
      </c>
      <c r="L48" s="388"/>
      <c r="M48" s="388"/>
      <c r="N48" s="388">
        <v>0.039</v>
      </c>
      <c r="O48" s="388">
        <v>0.054</v>
      </c>
      <c r="P48" s="389">
        <v>0.104</v>
      </c>
      <c r="Q48" s="45"/>
    </row>
    <row r="49" spans="1:17" ht="12.75">
      <c r="A49" s="296">
        <v>41</v>
      </c>
      <c r="B49" s="287"/>
      <c r="C49" s="288"/>
      <c r="D49" s="288"/>
      <c r="E49" s="288"/>
      <c r="F49" s="288"/>
      <c r="G49" s="288"/>
      <c r="H49" s="288"/>
      <c r="I49" s="388">
        <v>0</v>
      </c>
      <c r="J49" s="388"/>
      <c r="K49" s="388"/>
      <c r="L49" s="388">
        <v>0.013</v>
      </c>
      <c r="M49" s="388">
        <v>0.023</v>
      </c>
      <c r="N49" s="388"/>
      <c r="O49" s="388"/>
      <c r="P49" s="389"/>
      <c r="Q49" s="45"/>
    </row>
    <row r="50" spans="1:17" ht="12.75">
      <c r="A50" s="296">
        <v>42</v>
      </c>
      <c r="B50" s="390"/>
      <c r="C50" s="388"/>
      <c r="D50" s="388"/>
      <c r="E50" s="388"/>
      <c r="F50" s="388"/>
      <c r="G50" s="388"/>
      <c r="H50" s="388"/>
      <c r="I50" s="388"/>
      <c r="J50" s="288">
        <v>0.002</v>
      </c>
      <c r="K50" s="288">
        <v>0.005</v>
      </c>
      <c r="L50" s="388"/>
      <c r="M50" s="388"/>
      <c r="N50" s="288">
        <v>0.032</v>
      </c>
      <c r="O50" s="288">
        <v>0.046</v>
      </c>
      <c r="P50" s="289">
        <v>0.093</v>
      </c>
      <c r="Q50" s="45"/>
    </row>
    <row r="51" spans="1:17" ht="12.75">
      <c r="A51" s="296">
        <v>43</v>
      </c>
      <c r="B51" s="390"/>
      <c r="C51" s="388"/>
      <c r="D51" s="388"/>
      <c r="E51" s="388"/>
      <c r="F51" s="388"/>
      <c r="G51" s="388"/>
      <c r="H51" s="388"/>
      <c r="I51" s="388"/>
      <c r="J51" s="288"/>
      <c r="K51" s="288"/>
      <c r="L51" s="388">
        <v>0.01</v>
      </c>
      <c r="M51" s="388">
        <v>0.018</v>
      </c>
      <c r="N51" s="288"/>
      <c r="O51" s="288"/>
      <c r="P51" s="289"/>
      <c r="Q51" s="45"/>
    </row>
    <row r="52" spans="1:17" ht="12.75">
      <c r="A52" s="296">
        <v>44</v>
      </c>
      <c r="B52" s="390"/>
      <c r="C52" s="388"/>
      <c r="D52" s="388"/>
      <c r="E52" s="388"/>
      <c r="F52" s="388"/>
      <c r="G52" s="388"/>
      <c r="H52" s="388"/>
      <c r="I52" s="388"/>
      <c r="J52" s="288">
        <v>0.001</v>
      </c>
      <c r="K52" s="288">
        <v>0.003</v>
      </c>
      <c r="L52" s="388"/>
      <c r="M52" s="388"/>
      <c r="N52" s="288">
        <v>0.026</v>
      </c>
      <c r="O52" s="288">
        <v>0.038</v>
      </c>
      <c r="P52" s="289">
        <v>0.082</v>
      </c>
      <c r="Q52" s="45"/>
    </row>
    <row r="53" spans="1:17" ht="12.75">
      <c r="A53" s="296">
        <v>45</v>
      </c>
      <c r="B53" s="390"/>
      <c r="C53" s="388"/>
      <c r="D53" s="388"/>
      <c r="E53" s="388"/>
      <c r="F53" s="388"/>
      <c r="G53" s="388"/>
      <c r="H53" s="388"/>
      <c r="I53" s="388"/>
      <c r="J53" s="288"/>
      <c r="K53" s="288"/>
      <c r="L53" s="388">
        <v>0.007</v>
      </c>
      <c r="M53" s="388">
        <v>0.014</v>
      </c>
      <c r="N53" s="288"/>
      <c r="O53" s="288"/>
      <c r="P53" s="289"/>
      <c r="Q53" s="45"/>
    </row>
    <row r="54" spans="1:17" ht="12.75">
      <c r="A54" s="296">
        <v>46</v>
      </c>
      <c r="B54" s="390"/>
      <c r="C54" s="388"/>
      <c r="D54" s="388"/>
      <c r="E54" s="388"/>
      <c r="F54" s="388"/>
      <c r="G54" s="388"/>
      <c r="H54" s="388"/>
      <c r="I54" s="388"/>
      <c r="J54" s="288">
        <v>0</v>
      </c>
      <c r="K54" s="288">
        <v>0.002</v>
      </c>
      <c r="L54" s="388"/>
      <c r="M54" s="388"/>
      <c r="N54" s="288">
        <v>0.021</v>
      </c>
      <c r="O54" s="288">
        <v>0.032</v>
      </c>
      <c r="P54" s="289">
        <v>0.073</v>
      </c>
      <c r="Q54" s="45"/>
    </row>
    <row r="55" spans="1:17" ht="12.75">
      <c r="A55" s="296">
        <v>47</v>
      </c>
      <c r="B55" s="390"/>
      <c r="C55" s="388"/>
      <c r="D55" s="388"/>
      <c r="E55" s="388"/>
      <c r="F55" s="388"/>
      <c r="G55" s="388"/>
      <c r="H55" s="388"/>
      <c r="I55" s="388"/>
      <c r="J55" s="288"/>
      <c r="K55" s="288"/>
      <c r="L55" s="388">
        <v>0.005</v>
      </c>
      <c r="M55" s="388">
        <v>0.01</v>
      </c>
      <c r="N55" s="288"/>
      <c r="O55" s="288"/>
      <c r="P55" s="289"/>
      <c r="Q55" s="45"/>
    </row>
    <row r="56" spans="1:17" ht="12.75">
      <c r="A56" s="296">
        <v>48</v>
      </c>
      <c r="B56" s="390"/>
      <c r="C56" s="388"/>
      <c r="D56" s="388"/>
      <c r="E56" s="388"/>
      <c r="F56" s="388"/>
      <c r="G56" s="388"/>
      <c r="H56" s="388"/>
      <c r="I56" s="388"/>
      <c r="J56" s="388"/>
      <c r="K56" s="288">
        <v>0.001</v>
      </c>
      <c r="L56" s="388"/>
      <c r="M56" s="388"/>
      <c r="N56" s="288">
        <v>0.016</v>
      </c>
      <c r="O56" s="288">
        <v>0.026</v>
      </c>
      <c r="P56" s="289">
        <v>0.064</v>
      </c>
      <c r="Q56" s="45"/>
    </row>
    <row r="57" spans="1:17" ht="12.75">
      <c r="A57" s="296">
        <v>49</v>
      </c>
      <c r="B57" s="390"/>
      <c r="C57" s="388"/>
      <c r="D57" s="388"/>
      <c r="E57" s="388"/>
      <c r="F57" s="388"/>
      <c r="G57" s="388"/>
      <c r="H57" s="388"/>
      <c r="I57" s="388"/>
      <c r="J57" s="388"/>
      <c r="K57" s="288"/>
      <c r="L57" s="388">
        <v>0.003</v>
      </c>
      <c r="M57" s="388">
        <v>0.008</v>
      </c>
      <c r="N57" s="288"/>
      <c r="O57" s="288"/>
      <c r="P57" s="289"/>
      <c r="Q57" s="45"/>
    </row>
    <row r="58" spans="1:17" ht="12.75">
      <c r="A58" s="296">
        <v>50</v>
      </c>
      <c r="B58" s="390"/>
      <c r="C58" s="388"/>
      <c r="D58" s="388"/>
      <c r="E58" s="388"/>
      <c r="F58" s="388"/>
      <c r="G58" s="388"/>
      <c r="H58" s="388"/>
      <c r="I58" s="388"/>
      <c r="J58" s="388"/>
      <c r="K58" s="388">
        <v>0.001</v>
      </c>
      <c r="L58" s="388"/>
      <c r="M58" s="388"/>
      <c r="N58" s="388">
        <v>0.013</v>
      </c>
      <c r="O58" s="388">
        <v>0.021</v>
      </c>
      <c r="P58" s="389">
        <v>0.056</v>
      </c>
      <c r="Q58" s="45"/>
    </row>
    <row r="59" spans="1:17" ht="12.75">
      <c r="A59" s="296">
        <v>51</v>
      </c>
      <c r="B59" s="390"/>
      <c r="C59" s="388"/>
      <c r="D59" s="388"/>
      <c r="E59" s="388"/>
      <c r="F59" s="388"/>
      <c r="G59" s="388"/>
      <c r="H59" s="388"/>
      <c r="I59" s="388"/>
      <c r="J59" s="388"/>
      <c r="K59" s="388"/>
      <c r="L59" s="388">
        <v>0.002</v>
      </c>
      <c r="M59" s="388">
        <v>0.006</v>
      </c>
      <c r="N59" s="388"/>
      <c r="O59" s="388"/>
      <c r="P59" s="389"/>
      <c r="Q59" s="45"/>
    </row>
    <row r="60" spans="1:17" ht="12.75">
      <c r="A60" s="296">
        <v>52</v>
      </c>
      <c r="B60" s="390"/>
      <c r="C60" s="388"/>
      <c r="D60" s="388"/>
      <c r="E60" s="388"/>
      <c r="F60" s="388"/>
      <c r="G60" s="388"/>
      <c r="H60" s="388"/>
      <c r="I60" s="388"/>
      <c r="J60" s="388"/>
      <c r="K60" s="288">
        <v>0</v>
      </c>
      <c r="L60" s="388"/>
      <c r="M60" s="388"/>
      <c r="N60" s="388">
        <v>0.01</v>
      </c>
      <c r="O60" s="288">
        <v>0.017</v>
      </c>
      <c r="P60" s="289">
        <v>0.049</v>
      </c>
      <c r="Q60" s="45"/>
    </row>
    <row r="61" spans="1:17" ht="12.75">
      <c r="A61" s="296">
        <v>53</v>
      </c>
      <c r="B61" s="390"/>
      <c r="C61" s="388"/>
      <c r="D61" s="388"/>
      <c r="E61" s="388"/>
      <c r="F61" s="388"/>
      <c r="G61" s="388"/>
      <c r="H61" s="388"/>
      <c r="I61" s="388"/>
      <c r="J61" s="388"/>
      <c r="K61" s="288"/>
      <c r="L61" s="388">
        <v>0.002</v>
      </c>
      <c r="M61" s="388">
        <v>0.004</v>
      </c>
      <c r="N61" s="388"/>
      <c r="O61" s="288"/>
      <c r="P61" s="289"/>
      <c r="Q61" s="45"/>
    </row>
    <row r="62" spans="1:17" ht="12.75">
      <c r="A62" s="296">
        <v>54</v>
      </c>
      <c r="B62" s="390"/>
      <c r="C62" s="388"/>
      <c r="D62" s="388"/>
      <c r="E62" s="388"/>
      <c r="F62" s="388"/>
      <c r="G62" s="388"/>
      <c r="H62" s="388"/>
      <c r="I62" s="388"/>
      <c r="J62" s="388"/>
      <c r="K62" s="388"/>
      <c r="L62" s="388"/>
      <c r="M62" s="388"/>
      <c r="N62" s="288">
        <v>0.008</v>
      </c>
      <c r="O62" s="288">
        <v>0.014</v>
      </c>
      <c r="P62" s="289">
        <v>0.043</v>
      </c>
      <c r="Q62" s="45"/>
    </row>
    <row r="63" spans="1:17" ht="12.75">
      <c r="A63" s="296">
        <v>55</v>
      </c>
      <c r="B63" s="390"/>
      <c r="C63" s="388"/>
      <c r="D63" s="388"/>
      <c r="E63" s="388"/>
      <c r="F63" s="388"/>
      <c r="G63" s="388"/>
      <c r="H63" s="388"/>
      <c r="I63" s="388"/>
      <c r="J63" s="388"/>
      <c r="K63" s="388"/>
      <c r="L63" s="388">
        <v>0.001</v>
      </c>
      <c r="M63" s="388">
        <v>0.003</v>
      </c>
      <c r="N63" s="288"/>
      <c r="O63" s="288"/>
      <c r="P63" s="289"/>
      <c r="Q63" s="45"/>
    </row>
    <row r="64" spans="1:17" ht="12.75">
      <c r="A64" s="296">
        <v>56</v>
      </c>
      <c r="B64" s="390"/>
      <c r="C64" s="388"/>
      <c r="D64" s="388"/>
      <c r="E64" s="388"/>
      <c r="F64" s="388"/>
      <c r="G64" s="388"/>
      <c r="H64" s="388"/>
      <c r="I64" s="388"/>
      <c r="J64" s="388"/>
      <c r="K64" s="388"/>
      <c r="L64" s="388"/>
      <c r="M64" s="388"/>
      <c r="N64" s="288">
        <v>0.006</v>
      </c>
      <c r="O64" s="288">
        <v>0.011</v>
      </c>
      <c r="P64" s="289">
        <v>0.037</v>
      </c>
      <c r="Q64" s="45"/>
    </row>
    <row r="65" spans="1:17" ht="12.75">
      <c r="A65" s="296">
        <v>57</v>
      </c>
      <c r="B65" s="390"/>
      <c r="C65" s="388"/>
      <c r="D65" s="388"/>
      <c r="E65" s="388"/>
      <c r="F65" s="388"/>
      <c r="G65" s="388"/>
      <c r="H65" s="388"/>
      <c r="I65" s="388"/>
      <c r="J65" s="388"/>
      <c r="K65" s="388"/>
      <c r="L65" s="388">
        <v>0.001</v>
      </c>
      <c r="M65" s="388">
        <v>0.002</v>
      </c>
      <c r="N65" s="288"/>
      <c r="O65" s="288"/>
      <c r="P65" s="289"/>
      <c r="Q65" s="45"/>
    </row>
    <row r="66" spans="1:17" ht="12.75">
      <c r="A66" s="296">
        <v>58</v>
      </c>
      <c r="B66" s="390"/>
      <c r="C66" s="388"/>
      <c r="D66" s="388"/>
      <c r="E66" s="388"/>
      <c r="F66" s="388"/>
      <c r="G66" s="388"/>
      <c r="H66" s="388"/>
      <c r="I66" s="388"/>
      <c r="J66" s="388"/>
      <c r="K66" s="388"/>
      <c r="L66" s="388"/>
      <c r="M66" s="388"/>
      <c r="N66" s="288">
        <v>0.004</v>
      </c>
      <c r="O66" s="288">
        <v>0.009</v>
      </c>
      <c r="P66" s="289">
        <v>0.032</v>
      </c>
      <c r="Q66" s="45"/>
    </row>
    <row r="67" spans="1:17" ht="12.75">
      <c r="A67" s="296">
        <v>59</v>
      </c>
      <c r="B67" s="390"/>
      <c r="C67" s="388"/>
      <c r="D67" s="388"/>
      <c r="E67" s="388"/>
      <c r="F67" s="388"/>
      <c r="G67" s="388"/>
      <c r="H67" s="388"/>
      <c r="I67" s="388"/>
      <c r="J67" s="388"/>
      <c r="K67" s="388"/>
      <c r="L67" s="388">
        <v>0</v>
      </c>
      <c r="M67" s="388">
        <v>0.001</v>
      </c>
      <c r="N67" s="288"/>
      <c r="O67" s="288"/>
      <c r="P67" s="289"/>
      <c r="Q67" s="45"/>
    </row>
    <row r="68" spans="1:17" ht="12.75">
      <c r="A68" s="296">
        <v>60</v>
      </c>
      <c r="B68" s="390"/>
      <c r="C68" s="388"/>
      <c r="D68" s="388"/>
      <c r="E68" s="388"/>
      <c r="F68" s="388"/>
      <c r="G68" s="388"/>
      <c r="H68" s="388"/>
      <c r="I68" s="388"/>
      <c r="J68" s="388"/>
      <c r="K68" s="388"/>
      <c r="L68" s="388"/>
      <c r="M68" s="388"/>
      <c r="N68" s="288">
        <v>0.003</v>
      </c>
      <c r="O68" s="388">
        <v>0.007</v>
      </c>
      <c r="P68" s="389">
        <v>0.027</v>
      </c>
      <c r="Q68" s="45"/>
    </row>
    <row r="69" spans="1:17" ht="12.75">
      <c r="A69" s="296">
        <v>61</v>
      </c>
      <c r="B69" s="390"/>
      <c r="C69" s="388"/>
      <c r="D69" s="388"/>
      <c r="E69" s="388"/>
      <c r="F69" s="388"/>
      <c r="G69" s="388"/>
      <c r="H69" s="388"/>
      <c r="I69" s="388"/>
      <c r="J69" s="388"/>
      <c r="K69" s="388"/>
      <c r="L69" s="388"/>
      <c r="M69" s="388">
        <v>0.001</v>
      </c>
      <c r="N69" s="288"/>
      <c r="O69" s="388"/>
      <c r="P69" s="389"/>
      <c r="Q69" s="45"/>
    </row>
    <row r="70" spans="1:17" ht="12.75">
      <c r="A70" s="296">
        <v>62</v>
      </c>
      <c r="B70" s="390"/>
      <c r="C70" s="388"/>
      <c r="D70" s="388"/>
      <c r="E70" s="388"/>
      <c r="F70" s="388"/>
      <c r="G70" s="388"/>
      <c r="H70" s="388"/>
      <c r="I70" s="388"/>
      <c r="J70" s="388"/>
      <c r="K70" s="388"/>
      <c r="L70" s="388"/>
      <c r="M70" s="388"/>
      <c r="N70" s="388">
        <v>0.002</v>
      </c>
      <c r="O70" s="288">
        <v>0.005</v>
      </c>
      <c r="P70" s="289">
        <v>0.023</v>
      </c>
      <c r="Q70" s="45"/>
    </row>
    <row r="71" spans="1:17" ht="12.75">
      <c r="A71" s="296">
        <v>63</v>
      </c>
      <c r="B71" s="390"/>
      <c r="C71" s="388"/>
      <c r="D71" s="388"/>
      <c r="E71" s="388"/>
      <c r="F71" s="388"/>
      <c r="G71" s="388"/>
      <c r="H71" s="388"/>
      <c r="I71" s="388"/>
      <c r="J71" s="388"/>
      <c r="K71" s="388"/>
      <c r="L71" s="388"/>
      <c r="M71" s="388">
        <v>0.001</v>
      </c>
      <c r="N71" s="388"/>
      <c r="O71" s="288"/>
      <c r="P71" s="289"/>
      <c r="Q71" s="45"/>
    </row>
    <row r="72" spans="1:17" ht="12.75">
      <c r="A72" s="296">
        <v>64</v>
      </c>
      <c r="B72" s="390"/>
      <c r="C72" s="388"/>
      <c r="D72" s="388"/>
      <c r="E72" s="388"/>
      <c r="F72" s="388"/>
      <c r="G72" s="388"/>
      <c r="H72" s="388"/>
      <c r="I72" s="388"/>
      <c r="J72" s="388"/>
      <c r="K72" s="388"/>
      <c r="L72" s="388"/>
      <c r="M72" s="388"/>
      <c r="N72" s="288">
        <v>0.001</v>
      </c>
      <c r="O72" s="288">
        <v>0.004</v>
      </c>
      <c r="P72" s="289">
        <v>0.02</v>
      </c>
      <c r="Q72" s="45"/>
    </row>
    <row r="73" spans="1:17" ht="12.75">
      <c r="A73" s="296">
        <v>65</v>
      </c>
      <c r="B73" s="390"/>
      <c r="C73" s="388"/>
      <c r="D73" s="388"/>
      <c r="E73" s="388"/>
      <c r="F73" s="388"/>
      <c r="G73" s="388"/>
      <c r="H73" s="388"/>
      <c r="I73" s="388"/>
      <c r="J73" s="388"/>
      <c r="K73" s="388"/>
      <c r="L73" s="388"/>
      <c r="M73" s="388">
        <v>0</v>
      </c>
      <c r="N73" s="288"/>
      <c r="O73" s="288"/>
      <c r="P73" s="289"/>
      <c r="Q73" s="45"/>
    </row>
    <row r="74" spans="1:17" ht="12.75">
      <c r="A74" s="296">
        <v>66</v>
      </c>
      <c r="B74" s="390"/>
      <c r="C74" s="388"/>
      <c r="D74" s="388"/>
      <c r="E74" s="388"/>
      <c r="F74" s="388"/>
      <c r="G74" s="388"/>
      <c r="H74" s="388"/>
      <c r="I74" s="388"/>
      <c r="J74" s="388"/>
      <c r="K74" s="388"/>
      <c r="L74" s="388"/>
      <c r="M74" s="388"/>
      <c r="N74" s="288">
        <v>0.001</v>
      </c>
      <c r="O74" s="288">
        <v>0.003</v>
      </c>
      <c r="P74" s="289">
        <v>0.017</v>
      </c>
      <c r="Q74" s="45"/>
    </row>
    <row r="75" spans="1:17" ht="12.75">
      <c r="A75" s="296">
        <v>67</v>
      </c>
      <c r="B75" s="390"/>
      <c r="C75" s="388"/>
      <c r="D75" s="388"/>
      <c r="E75" s="388"/>
      <c r="F75" s="388"/>
      <c r="G75" s="388"/>
      <c r="H75" s="388"/>
      <c r="I75" s="388"/>
      <c r="J75" s="388"/>
      <c r="K75" s="388"/>
      <c r="L75" s="388"/>
      <c r="M75" s="388"/>
      <c r="N75" s="288"/>
      <c r="O75" s="288"/>
      <c r="P75" s="289"/>
      <c r="Q75" s="45"/>
    </row>
    <row r="76" spans="1:17" ht="12.75">
      <c r="A76" s="296">
        <v>68</v>
      </c>
      <c r="B76" s="390"/>
      <c r="C76" s="388"/>
      <c r="D76" s="388"/>
      <c r="E76" s="388"/>
      <c r="F76" s="388"/>
      <c r="G76" s="388"/>
      <c r="H76" s="388"/>
      <c r="I76" s="388"/>
      <c r="J76" s="388"/>
      <c r="K76" s="388"/>
      <c r="L76" s="388"/>
      <c r="M76" s="388"/>
      <c r="N76" s="288">
        <v>0.001</v>
      </c>
      <c r="O76" s="288">
        <v>0.002</v>
      </c>
      <c r="P76" s="289">
        <v>0.014</v>
      </c>
      <c r="Q76" s="45"/>
    </row>
    <row r="77" spans="1:17" ht="12.75">
      <c r="A77" s="296">
        <v>69</v>
      </c>
      <c r="B77" s="390"/>
      <c r="C77" s="388"/>
      <c r="D77" s="388"/>
      <c r="E77" s="388"/>
      <c r="F77" s="388"/>
      <c r="G77" s="388"/>
      <c r="H77" s="388"/>
      <c r="I77" s="388"/>
      <c r="J77" s="388"/>
      <c r="K77" s="388"/>
      <c r="L77" s="388"/>
      <c r="M77" s="388"/>
      <c r="N77" s="288"/>
      <c r="O77" s="288"/>
      <c r="P77" s="289"/>
      <c r="Q77" s="45"/>
    </row>
    <row r="78" spans="1:17" ht="12.75">
      <c r="A78" s="296">
        <v>70</v>
      </c>
      <c r="B78" s="390"/>
      <c r="C78" s="388"/>
      <c r="D78" s="388"/>
      <c r="E78" s="388"/>
      <c r="F78" s="388"/>
      <c r="G78" s="388"/>
      <c r="H78" s="388"/>
      <c r="I78" s="388"/>
      <c r="J78" s="388"/>
      <c r="K78" s="388"/>
      <c r="L78" s="388"/>
      <c r="M78" s="388"/>
      <c r="N78" s="288">
        <v>0.001</v>
      </c>
      <c r="O78" s="288">
        <v>0.002</v>
      </c>
      <c r="P78" s="289">
        <v>0.012</v>
      </c>
      <c r="Q78" s="45"/>
    </row>
    <row r="79" spans="1:17" ht="12.75">
      <c r="A79" s="296">
        <v>71</v>
      </c>
      <c r="B79" s="390"/>
      <c r="C79" s="388"/>
      <c r="D79" s="388"/>
      <c r="E79" s="388"/>
      <c r="F79" s="388"/>
      <c r="G79" s="388"/>
      <c r="H79" s="388"/>
      <c r="I79" s="388"/>
      <c r="J79" s="388"/>
      <c r="K79" s="388"/>
      <c r="L79" s="388"/>
      <c r="M79" s="388"/>
      <c r="N79" s="288"/>
      <c r="O79" s="288"/>
      <c r="P79" s="289"/>
      <c r="Q79" s="45"/>
    </row>
    <row r="80" spans="1:17" ht="12.75">
      <c r="A80" s="296">
        <v>72</v>
      </c>
      <c r="B80" s="390"/>
      <c r="C80" s="388"/>
      <c r="D80" s="388"/>
      <c r="E80" s="388"/>
      <c r="F80" s="388"/>
      <c r="G80" s="388"/>
      <c r="H80" s="388"/>
      <c r="I80" s="388"/>
      <c r="J80" s="388"/>
      <c r="K80" s="388"/>
      <c r="L80" s="388"/>
      <c r="M80" s="388"/>
      <c r="N80" s="288">
        <v>0.001</v>
      </c>
      <c r="O80" s="288">
        <v>0.001</v>
      </c>
      <c r="P80" s="289">
        <v>0.01</v>
      </c>
      <c r="Q80" s="45"/>
    </row>
    <row r="81" spans="1:17" ht="12.75">
      <c r="A81" s="296">
        <v>73</v>
      </c>
      <c r="B81" s="390"/>
      <c r="C81" s="388"/>
      <c r="D81" s="388"/>
      <c r="E81" s="388"/>
      <c r="F81" s="388"/>
      <c r="G81" s="388"/>
      <c r="H81" s="388"/>
      <c r="I81" s="388"/>
      <c r="J81" s="388"/>
      <c r="K81" s="388"/>
      <c r="L81" s="388"/>
      <c r="M81" s="388"/>
      <c r="N81" s="288"/>
      <c r="O81" s="288"/>
      <c r="P81" s="289"/>
      <c r="Q81" s="45"/>
    </row>
    <row r="82" spans="1:17" ht="12.75">
      <c r="A82" s="296">
        <v>74</v>
      </c>
      <c r="B82" s="390"/>
      <c r="C82" s="388"/>
      <c r="D82" s="388"/>
      <c r="E82" s="388"/>
      <c r="F82" s="388"/>
      <c r="G82" s="388"/>
      <c r="H82" s="388"/>
      <c r="I82" s="388"/>
      <c r="J82" s="388"/>
      <c r="K82" s="388"/>
      <c r="L82" s="388"/>
      <c r="M82" s="388"/>
      <c r="N82" s="288">
        <v>0</v>
      </c>
      <c r="O82" s="288">
        <v>0.001</v>
      </c>
      <c r="P82" s="289">
        <v>0.008</v>
      </c>
      <c r="Q82" s="45"/>
    </row>
    <row r="83" spans="1:17" ht="12.75">
      <c r="A83" s="296">
        <v>75</v>
      </c>
      <c r="B83" s="390"/>
      <c r="C83" s="388"/>
      <c r="D83" s="388"/>
      <c r="E83" s="388"/>
      <c r="F83" s="388"/>
      <c r="G83" s="388"/>
      <c r="H83" s="388"/>
      <c r="I83" s="388"/>
      <c r="J83" s="388"/>
      <c r="K83" s="388"/>
      <c r="L83" s="388"/>
      <c r="M83" s="388"/>
      <c r="N83" s="288"/>
      <c r="O83" s="288"/>
      <c r="P83" s="289"/>
      <c r="Q83" s="45"/>
    </row>
    <row r="84" spans="1:17" ht="12.75">
      <c r="A84" s="296">
        <v>76</v>
      </c>
      <c r="B84" s="390"/>
      <c r="C84" s="388"/>
      <c r="D84" s="388"/>
      <c r="E84" s="388"/>
      <c r="F84" s="388"/>
      <c r="G84" s="388"/>
      <c r="H84" s="388"/>
      <c r="I84" s="388"/>
      <c r="J84" s="388"/>
      <c r="K84" s="388"/>
      <c r="L84" s="388"/>
      <c r="M84" s="388"/>
      <c r="N84" s="388"/>
      <c r="O84" s="288">
        <v>0.001</v>
      </c>
      <c r="P84" s="289">
        <v>0.007</v>
      </c>
      <c r="Q84" s="45"/>
    </row>
    <row r="85" spans="1:17" ht="12.75">
      <c r="A85" s="296">
        <v>77</v>
      </c>
      <c r="B85" s="390"/>
      <c r="C85" s="388"/>
      <c r="D85" s="388"/>
      <c r="E85" s="388"/>
      <c r="F85" s="388"/>
      <c r="G85" s="388"/>
      <c r="H85" s="388"/>
      <c r="I85" s="388"/>
      <c r="J85" s="388"/>
      <c r="K85" s="388"/>
      <c r="L85" s="388"/>
      <c r="M85" s="388"/>
      <c r="N85" s="388"/>
      <c r="O85" s="288"/>
      <c r="P85" s="289"/>
      <c r="Q85" s="45"/>
    </row>
    <row r="86" spans="1:17" ht="12.75">
      <c r="A86" s="296">
        <v>78</v>
      </c>
      <c r="B86" s="390"/>
      <c r="C86" s="388"/>
      <c r="D86" s="388"/>
      <c r="E86" s="388"/>
      <c r="F86" s="388"/>
      <c r="G86" s="388"/>
      <c r="H86" s="388"/>
      <c r="I86" s="388"/>
      <c r="J86" s="388"/>
      <c r="K86" s="388"/>
      <c r="L86" s="388"/>
      <c r="M86" s="388"/>
      <c r="N86" s="388"/>
      <c r="O86" s="288">
        <v>0</v>
      </c>
      <c r="P86" s="289">
        <v>0.006</v>
      </c>
      <c r="Q86" s="45"/>
    </row>
    <row r="87" spans="1:17" ht="12.75">
      <c r="A87" s="296">
        <v>79</v>
      </c>
      <c r="B87" s="390"/>
      <c r="C87" s="388"/>
      <c r="D87" s="388"/>
      <c r="E87" s="388"/>
      <c r="F87" s="388"/>
      <c r="G87" s="388"/>
      <c r="H87" s="388"/>
      <c r="I87" s="388"/>
      <c r="J87" s="388"/>
      <c r="K87" s="388"/>
      <c r="L87" s="388"/>
      <c r="M87" s="388"/>
      <c r="N87" s="388"/>
      <c r="O87" s="288"/>
      <c r="P87" s="289"/>
      <c r="Q87" s="45"/>
    </row>
    <row r="88" spans="1:17" ht="12.75">
      <c r="A88" s="296">
        <v>80</v>
      </c>
      <c r="B88" s="390"/>
      <c r="C88" s="388"/>
      <c r="D88" s="388"/>
      <c r="E88" s="388"/>
      <c r="F88" s="388"/>
      <c r="G88" s="388"/>
      <c r="H88" s="388"/>
      <c r="I88" s="388"/>
      <c r="J88" s="388"/>
      <c r="K88" s="388"/>
      <c r="L88" s="388"/>
      <c r="M88" s="388"/>
      <c r="N88" s="388"/>
      <c r="O88" s="388"/>
      <c r="P88" s="389">
        <v>0.005</v>
      </c>
      <c r="Q88" s="45"/>
    </row>
    <row r="89" spans="1:17" ht="12.75">
      <c r="A89" s="296">
        <v>81</v>
      </c>
      <c r="B89" s="390"/>
      <c r="C89" s="388"/>
      <c r="D89" s="388"/>
      <c r="E89" s="388"/>
      <c r="F89" s="388"/>
      <c r="G89" s="388"/>
      <c r="H89" s="388"/>
      <c r="I89" s="388"/>
      <c r="J89" s="388"/>
      <c r="K89" s="388"/>
      <c r="L89" s="388"/>
      <c r="M89" s="388"/>
      <c r="N89" s="388"/>
      <c r="O89" s="388"/>
      <c r="P89" s="389"/>
      <c r="Q89" s="45"/>
    </row>
    <row r="90" spans="1:17" ht="12.75">
      <c r="A90" s="296">
        <v>82</v>
      </c>
      <c r="B90" s="390"/>
      <c r="C90" s="388"/>
      <c r="D90" s="388"/>
      <c r="E90" s="388"/>
      <c r="F90" s="388"/>
      <c r="G90" s="388"/>
      <c r="H90" s="388"/>
      <c r="I90" s="388"/>
      <c r="J90" s="388"/>
      <c r="K90" s="388"/>
      <c r="L90" s="388"/>
      <c r="M90" s="388"/>
      <c r="N90" s="388"/>
      <c r="O90" s="388"/>
      <c r="P90" s="289">
        <v>0.004</v>
      </c>
      <c r="Q90" s="45"/>
    </row>
    <row r="91" spans="1:17" ht="12.75">
      <c r="A91" s="296">
        <v>83</v>
      </c>
      <c r="B91" s="390"/>
      <c r="C91" s="388"/>
      <c r="D91" s="388"/>
      <c r="E91" s="388"/>
      <c r="F91" s="388"/>
      <c r="G91" s="388"/>
      <c r="H91" s="388"/>
      <c r="I91" s="388"/>
      <c r="J91" s="388"/>
      <c r="K91" s="388"/>
      <c r="L91" s="388"/>
      <c r="M91" s="388"/>
      <c r="N91" s="388"/>
      <c r="O91" s="388"/>
      <c r="P91" s="289"/>
      <c r="Q91" s="45"/>
    </row>
    <row r="92" spans="1:17" ht="12.75">
      <c r="A92" s="296">
        <v>84</v>
      </c>
      <c r="B92" s="390"/>
      <c r="C92" s="388"/>
      <c r="D92" s="388"/>
      <c r="E92" s="388"/>
      <c r="F92" s="388"/>
      <c r="G92" s="388"/>
      <c r="H92" s="388"/>
      <c r="I92" s="388"/>
      <c r="J92" s="388"/>
      <c r="K92" s="388"/>
      <c r="L92" s="388"/>
      <c r="M92" s="388"/>
      <c r="N92" s="388"/>
      <c r="O92" s="388"/>
      <c r="P92" s="289">
        <v>0.003</v>
      </c>
      <c r="Q92" s="45"/>
    </row>
    <row r="93" spans="1:17" ht="12.75">
      <c r="A93" s="296">
        <v>85</v>
      </c>
      <c r="B93" s="390"/>
      <c r="C93" s="388"/>
      <c r="D93" s="388"/>
      <c r="E93" s="388"/>
      <c r="F93" s="388"/>
      <c r="G93" s="388"/>
      <c r="H93" s="388"/>
      <c r="I93" s="388"/>
      <c r="J93" s="388"/>
      <c r="K93" s="388"/>
      <c r="L93" s="388"/>
      <c r="M93" s="388"/>
      <c r="N93" s="388"/>
      <c r="O93" s="388"/>
      <c r="P93" s="289"/>
      <c r="Q93" s="45"/>
    </row>
    <row r="94" spans="1:17" ht="12.75">
      <c r="A94" s="296">
        <v>86</v>
      </c>
      <c r="B94" s="390"/>
      <c r="C94" s="388"/>
      <c r="D94" s="388"/>
      <c r="E94" s="388"/>
      <c r="F94" s="388"/>
      <c r="G94" s="388"/>
      <c r="H94" s="388"/>
      <c r="I94" s="388"/>
      <c r="J94" s="388"/>
      <c r="K94" s="388"/>
      <c r="L94" s="388"/>
      <c r="M94" s="388"/>
      <c r="N94" s="388"/>
      <c r="O94" s="388"/>
      <c r="P94" s="289">
        <v>0.002</v>
      </c>
      <c r="Q94" s="45"/>
    </row>
    <row r="95" spans="1:17" ht="12.75">
      <c r="A95" s="296">
        <v>87</v>
      </c>
      <c r="B95" s="390"/>
      <c r="C95" s="388"/>
      <c r="D95" s="388"/>
      <c r="E95" s="388"/>
      <c r="F95" s="388"/>
      <c r="G95" s="388"/>
      <c r="H95" s="388"/>
      <c r="I95" s="388"/>
      <c r="J95" s="388"/>
      <c r="K95" s="388"/>
      <c r="L95" s="388"/>
      <c r="M95" s="388"/>
      <c r="N95" s="388"/>
      <c r="O95" s="388"/>
      <c r="P95" s="289"/>
      <c r="Q95" s="45"/>
    </row>
    <row r="96" spans="1:17" ht="12.75">
      <c r="A96" s="296">
        <v>88</v>
      </c>
      <c r="B96" s="390"/>
      <c r="C96" s="388"/>
      <c r="D96" s="388"/>
      <c r="E96" s="388"/>
      <c r="F96" s="388"/>
      <c r="G96" s="388"/>
      <c r="H96" s="388"/>
      <c r="I96" s="388"/>
      <c r="J96" s="388"/>
      <c r="K96" s="388"/>
      <c r="L96" s="388"/>
      <c r="M96" s="388"/>
      <c r="N96" s="388"/>
      <c r="O96" s="388"/>
      <c r="P96" s="289">
        <v>0.002</v>
      </c>
      <c r="Q96" s="45"/>
    </row>
    <row r="97" spans="1:17" ht="12.75">
      <c r="A97" s="296">
        <v>89</v>
      </c>
      <c r="B97" s="390"/>
      <c r="C97" s="388"/>
      <c r="D97" s="388"/>
      <c r="E97" s="388"/>
      <c r="F97" s="388"/>
      <c r="G97" s="388"/>
      <c r="H97" s="388"/>
      <c r="I97" s="388"/>
      <c r="J97" s="388"/>
      <c r="K97" s="388"/>
      <c r="L97" s="388"/>
      <c r="M97" s="388"/>
      <c r="N97" s="388"/>
      <c r="O97" s="388"/>
      <c r="P97" s="289"/>
      <c r="Q97" s="45"/>
    </row>
    <row r="98" spans="1:17" ht="12.75">
      <c r="A98" s="296">
        <v>90</v>
      </c>
      <c r="B98" s="390"/>
      <c r="C98" s="388"/>
      <c r="D98" s="388"/>
      <c r="E98" s="388"/>
      <c r="F98" s="388"/>
      <c r="G98" s="388"/>
      <c r="H98" s="388"/>
      <c r="I98" s="388"/>
      <c r="J98" s="388"/>
      <c r="K98" s="388"/>
      <c r="L98" s="388"/>
      <c r="M98" s="388"/>
      <c r="N98" s="388"/>
      <c r="O98" s="388"/>
      <c r="P98" s="389">
        <v>0.002</v>
      </c>
      <c r="Q98" s="45"/>
    </row>
    <row r="99" spans="1:17" ht="12.75">
      <c r="A99" s="296">
        <v>91</v>
      </c>
      <c r="B99" s="390"/>
      <c r="C99" s="388"/>
      <c r="D99" s="388"/>
      <c r="E99" s="388"/>
      <c r="F99" s="388"/>
      <c r="G99" s="388"/>
      <c r="H99" s="388"/>
      <c r="I99" s="388"/>
      <c r="J99" s="388"/>
      <c r="K99" s="388"/>
      <c r="L99" s="388"/>
      <c r="M99" s="388"/>
      <c r="N99" s="388"/>
      <c r="O99" s="388"/>
      <c r="P99" s="389"/>
      <c r="Q99" s="45"/>
    </row>
    <row r="100" spans="1:17" ht="12.75">
      <c r="A100" s="296">
        <v>92</v>
      </c>
      <c r="B100" s="390"/>
      <c r="C100" s="388"/>
      <c r="D100" s="388"/>
      <c r="E100" s="388"/>
      <c r="F100" s="388"/>
      <c r="G100" s="388"/>
      <c r="H100" s="388"/>
      <c r="I100" s="388"/>
      <c r="J100" s="388"/>
      <c r="K100" s="388"/>
      <c r="L100" s="388"/>
      <c r="M100" s="388"/>
      <c r="N100" s="388"/>
      <c r="O100" s="388"/>
      <c r="P100" s="289">
        <v>0.001</v>
      </c>
      <c r="Q100" s="45"/>
    </row>
    <row r="101" spans="1:17" ht="12.75">
      <c r="A101" s="296">
        <v>93</v>
      </c>
      <c r="B101" s="390"/>
      <c r="C101" s="388"/>
      <c r="D101" s="388"/>
      <c r="E101" s="388"/>
      <c r="F101" s="388"/>
      <c r="G101" s="388"/>
      <c r="H101" s="388"/>
      <c r="I101" s="388"/>
      <c r="J101" s="388"/>
      <c r="K101" s="388"/>
      <c r="L101" s="388"/>
      <c r="M101" s="388"/>
      <c r="N101" s="388"/>
      <c r="O101" s="388"/>
      <c r="P101" s="289"/>
      <c r="Q101" s="45"/>
    </row>
    <row r="102" spans="1:17" ht="12.75">
      <c r="A102" s="296">
        <v>94</v>
      </c>
      <c r="B102" s="390"/>
      <c r="C102" s="388"/>
      <c r="D102" s="388"/>
      <c r="E102" s="388"/>
      <c r="F102" s="388"/>
      <c r="G102" s="388"/>
      <c r="H102" s="388"/>
      <c r="I102" s="388"/>
      <c r="J102" s="388"/>
      <c r="K102" s="388"/>
      <c r="L102" s="388"/>
      <c r="M102" s="388"/>
      <c r="N102" s="388"/>
      <c r="O102" s="388"/>
      <c r="P102" s="289">
        <v>0.001</v>
      </c>
      <c r="Q102" s="45"/>
    </row>
    <row r="103" spans="1:17" ht="12.75">
      <c r="A103" s="296">
        <v>95</v>
      </c>
      <c r="B103" s="390"/>
      <c r="C103" s="388"/>
      <c r="D103" s="388"/>
      <c r="E103" s="388"/>
      <c r="F103" s="388"/>
      <c r="G103" s="388"/>
      <c r="H103" s="388"/>
      <c r="I103" s="388"/>
      <c r="J103" s="388"/>
      <c r="K103" s="388"/>
      <c r="L103" s="388"/>
      <c r="M103" s="388"/>
      <c r="N103" s="388"/>
      <c r="O103" s="388"/>
      <c r="P103" s="289"/>
      <c r="Q103" s="45"/>
    </row>
    <row r="104" spans="1:17" ht="12.75">
      <c r="A104" s="296">
        <v>96</v>
      </c>
      <c r="B104" s="390"/>
      <c r="C104" s="388"/>
      <c r="D104" s="388"/>
      <c r="E104" s="388"/>
      <c r="F104" s="388"/>
      <c r="G104" s="388"/>
      <c r="H104" s="388"/>
      <c r="I104" s="388"/>
      <c r="J104" s="388"/>
      <c r="K104" s="388"/>
      <c r="L104" s="388"/>
      <c r="M104" s="388"/>
      <c r="N104" s="388"/>
      <c r="O104" s="388"/>
      <c r="P104" s="289">
        <v>0.001</v>
      </c>
      <c r="Q104" s="45"/>
    </row>
    <row r="105" spans="1:17" ht="12.75">
      <c r="A105" s="296">
        <v>97</v>
      </c>
      <c r="B105" s="390"/>
      <c r="C105" s="388"/>
      <c r="D105" s="388"/>
      <c r="E105" s="388"/>
      <c r="F105" s="388"/>
      <c r="G105" s="388"/>
      <c r="H105" s="388"/>
      <c r="I105" s="388"/>
      <c r="J105" s="388"/>
      <c r="K105" s="388"/>
      <c r="L105" s="388"/>
      <c r="M105" s="388"/>
      <c r="N105" s="388"/>
      <c r="O105" s="388"/>
      <c r="P105" s="289"/>
      <c r="Q105" s="45"/>
    </row>
    <row r="106" spans="1:17" ht="12.75">
      <c r="A106" s="296">
        <v>98</v>
      </c>
      <c r="B106" s="390"/>
      <c r="C106" s="388"/>
      <c r="D106" s="388"/>
      <c r="E106" s="388"/>
      <c r="F106" s="388"/>
      <c r="G106" s="388"/>
      <c r="H106" s="388"/>
      <c r="I106" s="388"/>
      <c r="J106" s="388"/>
      <c r="K106" s="388"/>
      <c r="L106" s="388"/>
      <c r="M106" s="388"/>
      <c r="N106" s="388"/>
      <c r="O106" s="388"/>
      <c r="P106" s="289">
        <v>0.001</v>
      </c>
      <c r="Q106" s="45"/>
    </row>
    <row r="107" spans="1:17" ht="12.75">
      <c r="A107" s="296">
        <v>99</v>
      </c>
      <c r="B107" s="390"/>
      <c r="C107" s="388"/>
      <c r="D107" s="388"/>
      <c r="E107" s="388"/>
      <c r="F107" s="388"/>
      <c r="G107" s="388"/>
      <c r="H107" s="388"/>
      <c r="I107" s="388"/>
      <c r="J107" s="388"/>
      <c r="K107" s="388"/>
      <c r="L107" s="388"/>
      <c r="M107" s="388"/>
      <c r="N107" s="388"/>
      <c r="O107" s="388"/>
      <c r="P107" s="289"/>
      <c r="Q107" s="45"/>
    </row>
    <row r="108" spans="1:17" ht="13.5" thickBot="1">
      <c r="A108" s="297">
        <v>100</v>
      </c>
      <c r="B108" s="391"/>
      <c r="C108" s="392"/>
      <c r="D108" s="392"/>
      <c r="E108" s="392"/>
      <c r="F108" s="392"/>
      <c r="G108" s="392"/>
      <c r="H108" s="392"/>
      <c r="I108" s="392"/>
      <c r="J108" s="392"/>
      <c r="K108" s="392"/>
      <c r="L108" s="392"/>
      <c r="M108" s="392"/>
      <c r="N108" s="392"/>
      <c r="O108" s="392"/>
      <c r="P108" s="290">
        <v>0</v>
      </c>
      <c r="Q108" s="45"/>
    </row>
    <row r="109" spans="1:16" ht="12.75">
      <c r="A109" s="283"/>
      <c r="P109" s="291"/>
    </row>
  </sheetData>
  <sheetProtection/>
  <mergeCells count="1">
    <mergeCell ref="B6:P6"/>
  </mergeCells>
  <printOptions/>
  <pageMargins left="0.5" right="0.5" top="0.75" bottom="0.75" header="0.5" footer="0.5"/>
  <pageSetup blackAndWhite="1" horizontalDpi="600" verticalDpi="600" orientation="portrait" scale="92" r:id="rId3"/>
  <headerFooter alignWithMargins="0">
    <oddHeader>&amp;L&amp;8Washington State Department of Ecology: TCP program&amp;R&amp;8&amp;D</oddHeader>
    <oddFooter>&amp;L&amp;8&amp;Z&amp;F&amp;A</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1" transitionEvaluation="1"/>
  <dimension ref="A1:AT231"/>
  <sheetViews>
    <sheetView showGridLines="0" showRowColHeaders="0" zoomScale="133" zoomScaleNormal="133" zoomScalePageLayoutView="0" workbookViewId="0" topLeftCell="A1">
      <selection activeCell="F27" sqref="F27"/>
    </sheetView>
  </sheetViews>
  <sheetFormatPr defaultColWidth="15.66015625" defaultRowHeight="12.75"/>
  <cols>
    <col min="1" max="1" width="1.0078125" style="308" customWidth="1"/>
    <col min="2" max="2" width="13.5" style="312" customWidth="1"/>
    <col min="3" max="3" width="12.83203125" style="312" customWidth="1"/>
    <col min="4" max="9" width="12.33203125" style="312" customWidth="1"/>
    <col min="10" max="10" width="3.5" style="308" customWidth="1"/>
    <col min="11" max="11" width="11.5" style="308" hidden="1" customWidth="1"/>
    <col min="12" max="27" width="11.5" style="312" hidden="1" customWidth="1"/>
    <col min="28" max="33" width="0" style="312" hidden="1" customWidth="1"/>
    <col min="34" max="39" width="15.66015625" style="312" customWidth="1"/>
    <col min="40" max="40" width="10.83203125" style="312" customWidth="1"/>
    <col min="41" max="16384" width="15.66015625" style="312" customWidth="1"/>
  </cols>
  <sheetData>
    <row r="1" spans="1:27" s="308" customFormat="1" ht="15" customHeight="1">
      <c r="A1" s="358"/>
      <c r="B1" s="829" t="s">
        <v>406</v>
      </c>
      <c r="C1" s="765"/>
      <c r="D1" s="765"/>
      <c r="E1" s="765"/>
      <c r="F1" s="765"/>
      <c r="G1" s="765"/>
      <c r="H1" s="765"/>
      <c r="I1" s="765"/>
      <c r="J1" s="358"/>
      <c r="K1" s="307"/>
      <c r="L1" s="307"/>
      <c r="M1" s="307"/>
      <c r="N1" s="307"/>
      <c r="O1" s="307"/>
      <c r="P1" s="307"/>
      <c r="Q1" s="307"/>
      <c r="R1" s="307"/>
      <c r="S1" s="307"/>
      <c r="T1" s="307"/>
      <c r="U1" s="307"/>
      <c r="V1" s="307"/>
      <c r="W1" s="307"/>
      <c r="X1" s="307"/>
      <c r="Y1" s="307"/>
      <c r="Z1" s="307"/>
      <c r="AA1" s="307"/>
    </row>
    <row r="2" spans="1:27" ht="1.5" customHeight="1">
      <c r="A2" s="358"/>
      <c r="B2" s="359"/>
      <c r="C2" s="359"/>
      <c r="D2" s="359"/>
      <c r="E2" s="359"/>
      <c r="F2" s="359"/>
      <c r="G2" s="359"/>
      <c r="H2" s="359"/>
      <c r="I2" s="360"/>
      <c r="J2" s="358"/>
      <c r="K2" s="309"/>
      <c r="L2" s="310"/>
      <c r="M2" s="310"/>
      <c r="N2" s="310"/>
      <c r="O2" s="310"/>
      <c r="P2" s="310"/>
      <c r="Q2" s="310"/>
      <c r="R2" s="310"/>
      <c r="S2" s="310"/>
      <c r="T2" s="310"/>
      <c r="U2" s="310"/>
      <c r="V2" s="310"/>
      <c r="W2" s="310"/>
      <c r="X2" s="310"/>
      <c r="Y2" s="310"/>
      <c r="Z2" s="310"/>
      <c r="AA2" s="311"/>
    </row>
    <row r="3" spans="1:27" ht="12" customHeight="1">
      <c r="A3" s="358"/>
      <c r="B3" s="1000"/>
      <c r="C3" s="208" t="str">
        <f>Historical_data_entry_1!D2</f>
        <v>Site Name:</v>
      </c>
      <c r="D3" s="607" t="s">
        <v>409</v>
      </c>
      <c r="E3" s="402"/>
      <c r="F3" s="403"/>
      <c r="G3" s="359"/>
      <c r="H3" s="359"/>
      <c r="I3" s="362"/>
      <c r="J3" s="358"/>
      <c r="K3" s="313"/>
      <c r="L3" s="314"/>
      <c r="M3" s="314"/>
      <c r="N3" s="314"/>
      <c r="O3" s="314"/>
      <c r="P3" s="314"/>
      <c r="Q3" s="314"/>
      <c r="R3" s="314"/>
      <c r="S3" s="314"/>
      <c r="T3" s="314"/>
      <c r="U3" s="314"/>
      <c r="V3" s="314"/>
      <c r="W3" s="314"/>
      <c r="X3" s="314"/>
      <c r="Y3" s="314"/>
      <c r="Z3" s="314"/>
      <c r="AA3" s="311"/>
    </row>
    <row r="4" spans="1:27" ht="12.75" customHeight="1">
      <c r="A4" s="358"/>
      <c r="B4" s="361"/>
      <c r="C4" s="208" t="str">
        <f>Historical_data_entry_1!D3</f>
        <v>Site Address:</v>
      </c>
      <c r="D4" s="607" t="s">
        <v>410</v>
      </c>
      <c r="E4" s="402"/>
      <c r="F4" s="403"/>
      <c r="G4" s="359"/>
      <c r="H4" s="359"/>
      <c r="I4" s="358"/>
      <c r="J4" s="358"/>
      <c r="K4" s="307"/>
      <c r="L4" s="311"/>
      <c r="M4" s="311"/>
      <c r="N4" s="311"/>
      <c r="O4" s="311"/>
      <c r="P4" s="311"/>
      <c r="Q4" s="311"/>
      <c r="R4" s="311"/>
      <c r="S4" s="311"/>
      <c r="T4" s="311"/>
      <c r="U4" s="311"/>
      <c r="V4" s="311"/>
      <c r="W4" s="311"/>
      <c r="X4" s="311"/>
      <c r="Y4" s="311"/>
      <c r="Z4" s="311"/>
      <c r="AA4" s="311"/>
    </row>
    <row r="5" spans="1:27" ht="14.25" customHeight="1" thickBot="1">
      <c r="A5" s="363"/>
      <c r="B5" s="364"/>
      <c r="C5" s="211" t="str">
        <f>Historical_data_entry_1!D4</f>
        <v>Additional Description:</v>
      </c>
      <c r="D5" s="608" t="s">
        <v>401</v>
      </c>
      <c r="E5" s="404"/>
      <c r="F5" s="405"/>
      <c r="G5" s="365"/>
      <c r="H5" s="365"/>
      <c r="I5" s="363"/>
      <c r="J5" s="358"/>
      <c r="K5" s="307"/>
      <c r="L5" s="311"/>
      <c r="M5" s="311"/>
      <c r="N5" s="311"/>
      <c r="O5" s="311"/>
      <c r="P5" s="311"/>
      <c r="Q5" s="311"/>
      <c r="R5" s="311"/>
      <c r="S5" s="311"/>
      <c r="T5" s="311"/>
      <c r="U5" s="311"/>
      <c r="V5" s="311"/>
      <c r="W5" s="311"/>
      <c r="X5" s="311"/>
      <c r="Y5" s="311"/>
      <c r="Z5" s="311"/>
      <c r="AA5" s="311"/>
    </row>
    <row r="6" spans="1:27" ht="10.5" customHeight="1" hidden="1">
      <c r="A6" s="358"/>
      <c r="B6" s="361"/>
      <c r="C6" s="216"/>
      <c r="D6" s="366"/>
      <c r="E6" s="359"/>
      <c r="F6" s="359"/>
      <c r="G6" s="359"/>
      <c r="H6" s="359"/>
      <c r="I6" s="358"/>
      <c r="J6" s="358"/>
      <c r="K6" s="307"/>
      <c r="L6" s="311"/>
      <c r="M6" s="311"/>
      <c r="N6" s="311"/>
      <c r="O6" s="311"/>
      <c r="P6" s="311"/>
      <c r="Q6" s="311"/>
      <c r="R6" s="311"/>
      <c r="S6" s="311"/>
      <c r="T6" s="311"/>
      <c r="U6" s="311"/>
      <c r="V6" s="311"/>
      <c r="W6" s="311"/>
      <c r="X6" s="311"/>
      <c r="Y6" s="311"/>
      <c r="Z6" s="311"/>
      <c r="AA6" s="311"/>
    </row>
    <row r="7" spans="1:27" ht="10.5" customHeight="1" hidden="1">
      <c r="A7" s="358"/>
      <c r="B7" s="361"/>
      <c r="C7" s="216"/>
      <c r="D7" s="366"/>
      <c r="E7" s="359"/>
      <c r="F7" s="359"/>
      <c r="G7" s="359"/>
      <c r="H7" s="359"/>
      <c r="I7" s="358"/>
      <c r="J7" s="358"/>
      <c r="K7" s="307"/>
      <c r="L7" s="311"/>
      <c r="M7" s="311"/>
      <c r="N7" s="311"/>
      <c r="O7" s="311"/>
      <c r="P7" s="311"/>
      <c r="Q7" s="311"/>
      <c r="R7" s="311"/>
      <c r="S7" s="311"/>
      <c r="T7" s="311"/>
      <c r="U7" s="311"/>
      <c r="V7" s="311"/>
      <c r="W7" s="311"/>
      <c r="X7" s="311"/>
      <c r="Y7" s="311"/>
      <c r="Z7" s="311"/>
      <c r="AA7" s="311"/>
    </row>
    <row r="8" spans="1:27" s="308" customFormat="1" ht="13.5" customHeight="1" hidden="1">
      <c r="A8" s="358"/>
      <c r="B8" s="367"/>
      <c r="C8" s="368"/>
      <c r="D8" s="369"/>
      <c r="E8" s="359"/>
      <c r="F8" s="359"/>
      <c r="G8" s="359"/>
      <c r="H8" s="359"/>
      <c r="I8" s="358"/>
      <c r="J8" s="358"/>
      <c r="K8" s="307"/>
      <c r="L8" s="307"/>
      <c r="M8" s="307"/>
      <c r="N8" s="307"/>
      <c r="O8" s="307"/>
      <c r="P8" s="307"/>
      <c r="Q8" s="307"/>
      <c r="R8" s="307"/>
      <c r="S8" s="307"/>
      <c r="T8" s="307"/>
      <c r="U8" s="307"/>
      <c r="V8" s="307"/>
      <c r="W8" s="307"/>
      <c r="X8" s="307"/>
      <c r="Y8" s="307"/>
      <c r="Z8" s="307"/>
      <c r="AA8" s="307"/>
    </row>
    <row r="9" spans="1:27" s="308" customFormat="1" ht="3" customHeight="1" thickTop="1">
      <c r="A9" s="358"/>
      <c r="B9" s="358"/>
      <c r="C9" s="359"/>
      <c r="D9" s="359"/>
      <c r="E9" s="359"/>
      <c r="F9" s="359"/>
      <c r="G9" s="359"/>
      <c r="H9" s="359"/>
      <c r="I9" s="358"/>
      <c r="J9" s="358"/>
      <c r="K9" s="307"/>
      <c r="L9" s="307"/>
      <c r="M9" s="307"/>
      <c r="N9" s="307"/>
      <c r="O9" s="307"/>
      <c r="P9" s="307"/>
      <c r="Q9" s="307"/>
      <c r="R9" s="307"/>
      <c r="S9" s="307"/>
      <c r="T9" s="307"/>
      <c r="U9" s="307"/>
      <c r="V9" s="307"/>
      <c r="W9" s="307"/>
      <c r="X9" s="307"/>
      <c r="Y9" s="307"/>
      <c r="Z9" s="307"/>
      <c r="AA9" s="307"/>
    </row>
    <row r="10" spans="1:27" s="308" customFormat="1" ht="13.5" customHeight="1">
      <c r="A10" s="358"/>
      <c r="B10" s="358"/>
      <c r="C10" s="370"/>
      <c r="D10" s="830" t="s">
        <v>336</v>
      </c>
      <c r="E10" s="381" t="s">
        <v>412</v>
      </c>
      <c r="F10" s="359"/>
      <c r="G10" s="359"/>
      <c r="H10" s="359"/>
      <c r="I10" s="358"/>
      <c r="J10" s="358"/>
      <c r="K10" s="307"/>
      <c r="L10" s="307"/>
      <c r="M10" s="307"/>
      <c r="N10" s="307"/>
      <c r="O10" s="307"/>
      <c r="P10" s="307"/>
      <c r="Q10" s="307"/>
      <c r="R10" s="307"/>
      <c r="S10" s="307"/>
      <c r="T10" s="307"/>
      <c r="U10" s="307"/>
      <c r="V10" s="307"/>
      <c r="W10" s="307"/>
      <c r="X10" s="307"/>
      <c r="Y10" s="307"/>
      <c r="Z10" s="307"/>
      <c r="AA10" s="307"/>
    </row>
    <row r="11" spans="1:27" ht="12" customHeight="1">
      <c r="A11" s="358"/>
      <c r="B11" s="358"/>
      <c r="C11" s="371"/>
      <c r="D11" s="830" t="s">
        <v>329</v>
      </c>
      <c r="E11" s="382">
        <v>0.85</v>
      </c>
      <c r="F11" s="359"/>
      <c r="G11" s="359"/>
      <c r="H11" s="359"/>
      <c r="I11" s="358"/>
      <c r="J11" s="358"/>
      <c r="K11" s="307"/>
      <c r="L11" s="311"/>
      <c r="M11" s="311"/>
      <c r="N11" s="311"/>
      <c r="O11" s="311"/>
      <c r="P11" s="311"/>
      <c r="Q11" s="311"/>
      <c r="R11" s="311"/>
      <c r="S11" s="311"/>
      <c r="T11" s="311"/>
      <c r="U11" s="311"/>
      <c r="V11" s="311"/>
      <c r="W11" s="311"/>
      <c r="X11" s="311"/>
      <c r="Y11" s="311"/>
      <c r="Z11" s="311"/>
      <c r="AA11" s="311"/>
    </row>
    <row r="12" spans="1:27" ht="12" customHeight="1" thickBot="1">
      <c r="A12" s="358"/>
      <c r="B12" s="841" t="s">
        <v>349</v>
      </c>
      <c r="C12" s="371"/>
      <c r="D12" s="360"/>
      <c r="E12" s="372"/>
      <c r="F12" s="359"/>
      <c r="G12" s="359"/>
      <c r="H12" s="359"/>
      <c r="I12" s="358"/>
      <c r="J12" s="358"/>
      <c r="K12" s="307"/>
      <c r="L12" s="311"/>
      <c r="M12" s="311"/>
      <c r="N12" s="311"/>
      <c r="O12" s="311"/>
      <c r="P12" s="311"/>
      <c r="Q12" s="311"/>
      <c r="R12" s="311"/>
      <c r="S12" s="311"/>
      <c r="T12" s="311"/>
      <c r="U12" s="311"/>
      <c r="V12" s="311"/>
      <c r="W12" s="311"/>
      <c r="X12" s="311"/>
      <c r="Y12" s="311"/>
      <c r="Z12" s="311"/>
      <c r="AA12" s="311"/>
    </row>
    <row r="13" spans="1:27" ht="13.5" customHeight="1" thickBot="1">
      <c r="A13" s="358"/>
      <c r="B13" s="398"/>
      <c r="C13" s="373"/>
      <c r="D13" s="1125" t="s">
        <v>400</v>
      </c>
      <c r="E13" s="1125"/>
      <c r="F13" s="1125"/>
      <c r="G13" s="1125"/>
      <c r="H13" s="1125"/>
      <c r="I13" s="1126"/>
      <c r="J13" s="358"/>
      <c r="K13" s="307"/>
      <c r="L13" s="311"/>
      <c r="M13" s="311"/>
      <c r="N13" s="311"/>
      <c r="O13" s="311"/>
      <c r="P13" s="311"/>
      <c r="Q13" s="311"/>
      <c r="R13" s="311"/>
      <c r="S13" s="311"/>
      <c r="T13" s="311"/>
      <c r="U13" s="311"/>
      <c r="V13" s="311"/>
      <c r="W13" s="311"/>
      <c r="X13" s="311"/>
      <c r="Y13" s="311"/>
      <c r="Z13" s="311"/>
      <c r="AA13" s="311"/>
    </row>
    <row r="14" spans="1:27" ht="12.75" customHeight="1" thickBot="1">
      <c r="A14" s="358"/>
      <c r="B14" s="839" t="s">
        <v>140</v>
      </c>
      <c r="C14" s="838" t="s">
        <v>325</v>
      </c>
      <c r="D14" s="919" t="s">
        <v>25</v>
      </c>
      <c r="E14" s="920" t="s">
        <v>26</v>
      </c>
      <c r="F14" s="920" t="s">
        <v>411</v>
      </c>
      <c r="G14" s="920" t="s">
        <v>368</v>
      </c>
      <c r="H14" s="920" t="s">
        <v>29</v>
      </c>
      <c r="I14" s="921" t="s">
        <v>27</v>
      </c>
      <c r="J14" s="358"/>
      <c r="K14" s="307"/>
      <c r="L14" s="311"/>
      <c r="M14" s="311"/>
      <c r="N14" s="311"/>
      <c r="O14" s="311"/>
      <c r="P14" s="311"/>
      <c r="Q14" s="311"/>
      <c r="R14" s="311"/>
      <c r="S14" s="311"/>
      <c r="T14" s="311"/>
      <c r="U14" s="311"/>
      <c r="V14" s="311"/>
      <c r="W14" s="311"/>
      <c r="X14" s="311"/>
      <c r="Y14" s="311"/>
      <c r="Z14" s="311"/>
      <c r="AA14" s="311"/>
    </row>
    <row r="15" spans="1:27" ht="12" customHeight="1">
      <c r="A15" s="358"/>
      <c r="B15" s="922" t="s">
        <v>118</v>
      </c>
      <c r="C15" s="923">
        <v>35213</v>
      </c>
      <c r="D15" s="304">
        <v>1900</v>
      </c>
      <c r="E15" s="305">
        <v>38</v>
      </c>
      <c r="F15" s="305">
        <v>9</v>
      </c>
      <c r="G15" s="305">
        <v>150</v>
      </c>
      <c r="H15" s="305">
        <v>4.4</v>
      </c>
      <c r="I15" s="306">
        <v>35</v>
      </c>
      <c r="J15" s="358"/>
      <c r="K15" s="307"/>
      <c r="L15" s="315"/>
      <c r="M15" s="316"/>
      <c r="N15" s="311"/>
      <c r="O15" s="311"/>
      <c r="P15" s="311"/>
      <c r="Q15" s="311"/>
      <c r="R15" s="311"/>
      <c r="S15" s="311"/>
      <c r="T15" s="311"/>
      <c r="U15" s="311"/>
      <c r="V15" s="311"/>
      <c r="W15" s="311"/>
      <c r="X15" s="311"/>
      <c r="Y15" s="311"/>
      <c r="Z15" s="311"/>
      <c r="AA15" s="311"/>
    </row>
    <row r="16" spans="1:27" ht="12" customHeight="1">
      <c r="A16" s="358"/>
      <c r="B16" s="924" t="s">
        <v>119</v>
      </c>
      <c r="C16" s="925">
        <v>35243</v>
      </c>
      <c r="D16" s="302">
        <v>1300</v>
      </c>
      <c r="E16" s="298">
        <v>18</v>
      </c>
      <c r="F16" s="298">
        <v>9</v>
      </c>
      <c r="G16" s="298">
        <v>140</v>
      </c>
      <c r="H16" s="298">
        <v>89</v>
      </c>
      <c r="I16" s="299"/>
      <c r="J16" s="358"/>
      <c r="K16" s="307"/>
      <c r="L16" s="315"/>
      <c r="M16" s="316"/>
      <c r="N16" s="311"/>
      <c r="O16" s="311"/>
      <c r="P16" s="311"/>
      <c r="Q16" s="311"/>
      <c r="R16" s="311"/>
      <c r="S16" s="311"/>
      <c r="T16" s="311"/>
      <c r="U16" s="311"/>
      <c r="V16" s="311"/>
      <c r="W16" s="311"/>
      <c r="X16" s="311"/>
      <c r="Y16" s="311"/>
      <c r="Z16" s="311"/>
      <c r="AA16" s="311"/>
    </row>
    <row r="17" spans="1:27" ht="12" customHeight="1">
      <c r="A17" s="358"/>
      <c r="B17" s="924" t="s">
        <v>120</v>
      </c>
      <c r="C17" s="925">
        <v>35394</v>
      </c>
      <c r="D17" s="302">
        <v>1500</v>
      </c>
      <c r="E17" s="298">
        <v>16</v>
      </c>
      <c r="F17" s="298">
        <v>11</v>
      </c>
      <c r="G17" s="298">
        <v>270</v>
      </c>
      <c r="H17" s="298">
        <v>11</v>
      </c>
      <c r="I17" s="299">
        <v>45</v>
      </c>
      <c r="J17" s="358"/>
      <c r="K17" s="307"/>
      <c r="L17" s="315"/>
      <c r="M17" s="316"/>
      <c r="N17" s="311"/>
      <c r="O17" s="311"/>
      <c r="P17" s="311"/>
      <c r="Q17" s="311"/>
      <c r="R17" s="311"/>
      <c r="S17" s="311"/>
      <c r="T17" s="311"/>
      <c r="U17" s="311"/>
      <c r="V17" s="311"/>
      <c r="W17" s="311"/>
      <c r="X17" s="311"/>
      <c r="Y17" s="311"/>
      <c r="Z17" s="311"/>
      <c r="AA17" s="311"/>
    </row>
    <row r="18" spans="1:27" ht="12" customHeight="1">
      <c r="A18" s="358"/>
      <c r="B18" s="924" t="s">
        <v>121</v>
      </c>
      <c r="C18" s="925">
        <v>35493</v>
      </c>
      <c r="D18" s="302"/>
      <c r="E18" s="298">
        <v>33</v>
      </c>
      <c r="F18" s="298">
        <v>5</v>
      </c>
      <c r="G18" s="298">
        <v>740</v>
      </c>
      <c r="H18" s="298">
        <v>16</v>
      </c>
      <c r="I18" s="299"/>
      <c r="J18" s="358"/>
      <c r="K18" s="307"/>
      <c r="L18" s="315"/>
      <c r="M18" s="316"/>
      <c r="N18" s="311"/>
      <c r="O18" s="311"/>
      <c r="P18" s="311"/>
      <c r="Q18" s="311"/>
      <c r="R18" s="311"/>
      <c r="S18" s="311"/>
      <c r="T18" s="311"/>
      <c r="U18" s="311"/>
      <c r="V18" s="311"/>
      <c r="W18" s="311"/>
      <c r="X18" s="311"/>
      <c r="Y18" s="311"/>
      <c r="Z18" s="311"/>
      <c r="AA18" s="311"/>
    </row>
    <row r="19" spans="1:27" ht="12" customHeight="1">
      <c r="A19" s="358"/>
      <c r="B19" s="924" t="s">
        <v>122</v>
      </c>
      <c r="C19" s="925">
        <v>35578</v>
      </c>
      <c r="D19" s="302">
        <v>350</v>
      </c>
      <c r="E19" s="298"/>
      <c r="F19" s="298">
        <v>12</v>
      </c>
      <c r="G19" s="298">
        <v>290</v>
      </c>
      <c r="H19" s="298">
        <v>8.2</v>
      </c>
      <c r="I19" s="299">
        <v>12</v>
      </c>
      <c r="J19" s="358"/>
      <c r="K19" s="307"/>
      <c r="L19" s="315"/>
      <c r="M19" s="316"/>
      <c r="N19" s="311"/>
      <c r="O19" s="311"/>
      <c r="P19" s="311"/>
      <c r="Q19" s="311"/>
      <c r="R19" s="311"/>
      <c r="S19" s="311"/>
      <c r="T19" s="311"/>
      <c r="U19" s="311"/>
      <c r="V19" s="311"/>
      <c r="W19" s="311"/>
      <c r="X19" s="311"/>
      <c r="Y19" s="311"/>
      <c r="Z19" s="311"/>
      <c r="AA19" s="311"/>
    </row>
    <row r="20" spans="1:27" ht="12" customHeight="1">
      <c r="A20" s="358"/>
      <c r="B20" s="924" t="s">
        <v>123</v>
      </c>
      <c r="C20" s="925">
        <v>35668</v>
      </c>
      <c r="D20" s="302">
        <v>270</v>
      </c>
      <c r="E20" s="298">
        <v>7.8</v>
      </c>
      <c r="F20" s="298">
        <v>20</v>
      </c>
      <c r="G20" s="298">
        <v>92</v>
      </c>
      <c r="H20" s="298">
        <v>7.5</v>
      </c>
      <c r="I20" s="299"/>
      <c r="J20" s="358"/>
      <c r="K20" s="307"/>
      <c r="L20" s="315"/>
      <c r="M20" s="316"/>
      <c r="N20" s="311"/>
      <c r="O20" s="311"/>
      <c r="P20" s="311"/>
      <c r="Q20" s="311"/>
      <c r="R20" s="311"/>
      <c r="S20" s="311"/>
      <c r="T20" s="311"/>
      <c r="U20" s="311"/>
      <c r="V20" s="311"/>
      <c r="W20" s="311"/>
      <c r="X20" s="311"/>
      <c r="Y20" s="311"/>
      <c r="Z20" s="311"/>
      <c r="AA20" s="311"/>
    </row>
    <row r="21" spans="1:27" ht="12" customHeight="1">
      <c r="A21" s="358"/>
      <c r="B21" s="924" t="s">
        <v>124</v>
      </c>
      <c r="C21" s="925">
        <v>35843</v>
      </c>
      <c r="D21" s="302">
        <v>210</v>
      </c>
      <c r="E21" s="298">
        <v>3.6</v>
      </c>
      <c r="F21" s="298"/>
      <c r="G21" s="298">
        <v>25</v>
      </c>
      <c r="H21" s="298">
        <v>1</v>
      </c>
      <c r="I21" s="299"/>
      <c r="J21" s="358"/>
      <c r="K21" s="307"/>
      <c r="L21" s="315"/>
      <c r="M21" s="316"/>
      <c r="N21" s="311"/>
      <c r="O21" s="311"/>
      <c r="P21" s="311"/>
      <c r="Q21" s="311"/>
      <c r="R21" s="311"/>
      <c r="S21" s="311"/>
      <c r="T21" s="311"/>
      <c r="U21" s="311"/>
      <c r="V21" s="311"/>
      <c r="W21" s="311"/>
      <c r="X21" s="311"/>
      <c r="Y21" s="311"/>
      <c r="Z21" s="311"/>
      <c r="AA21" s="311"/>
    </row>
    <row r="22" spans="1:27" ht="12" customHeight="1">
      <c r="A22" s="358"/>
      <c r="B22" s="924" t="s">
        <v>125</v>
      </c>
      <c r="C22" s="925">
        <v>35957</v>
      </c>
      <c r="D22" s="302">
        <v>44</v>
      </c>
      <c r="E22" s="298">
        <v>20</v>
      </c>
      <c r="F22" s="298">
        <v>18</v>
      </c>
      <c r="G22" s="298">
        <v>890</v>
      </c>
      <c r="H22" s="298">
        <v>75</v>
      </c>
      <c r="I22" s="299"/>
      <c r="J22" s="358"/>
      <c r="K22" s="307"/>
      <c r="L22" s="315"/>
      <c r="M22" s="316"/>
      <c r="N22" s="311"/>
      <c r="O22" s="311"/>
      <c r="P22" s="311"/>
      <c r="Q22" s="311"/>
      <c r="R22" s="311"/>
      <c r="S22" s="311"/>
      <c r="T22" s="311"/>
      <c r="U22" s="311"/>
      <c r="V22" s="311"/>
      <c r="W22" s="311"/>
      <c r="X22" s="311"/>
      <c r="Y22" s="311"/>
      <c r="Z22" s="311"/>
      <c r="AA22" s="311"/>
    </row>
    <row r="23" spans="1:27" ht="12" customHeight="1">
      <c r="A23" s="358"/>
      <c r="B23" s="924" t="s">
        <v>144</v>
      </c>
      <c r="C23" s="925">
        <v>36052</v>
      </c>
      <c r="D23" s="1115"/>
      <c r="E23" s="298">
        <v>21</v>
      </c>
      <c r="F23" s="298">
        <v>17</v>
      </c>
      <c r="G23" s="298">
        <v>450</v>
      </c>
      <c r="H23" s="298">
        <v>15</v>
      </c>
      <c r="I23" s="299"/>
      <c r="J23" s="358"/>
      <c r="K23" s="307"/>
      <c r="L23" s="315"/>
      <c r="M23" s="316"/>
      <c r="N23" s="311"/>
      <c r="O23" s="311"/>
      <c r="P23" s="311"/>
      <c r="Q23" s="311"/>
      <c r="R23" s="311"/>
      <c r="S23" s="311"/>
      <c r="T23" s="311"/>
      <c r="U23" s="311"/>
      <c r="V23" s="311"/>
      <c r="W23" s="311"/>
      <c r="X23" s="311"/>
      <c r="Y23" s="311"/>
      <c r="Z23" s="311"/>
      <c r="AA23" s="311"/>
    </row>
    <row r="24" spans="1:27" ht="12" customHeight="1">
      <c r="A24" s="358"/>
      <c r="B24" s="924" t="s">
        <v>145</v>
      </c>
      <c r="C24" s="925">
        <v>36130</v>
      </c>
      <c r="D24" s="302">
        <v>94</v>
      </c>
      <c r="E24" s="298">
        <v>19</v>
      </c>
      <c r="F24" s="298">
        <v>22</v>
      </c>
      <c r="G24" s="298">
        <v>480</v>
      </c>
      <c r="H24" s="298">
        <v>6.7</v>
      </c>
      <c r="I24" s="299"/>
      <c r="J24" s="358"/>
      <c r="K24" s="307"/>
      <c r="L24" s="315"/>
      <c r="M24" s="316"/>
      <c r="N24" s="311"/>
      <c r="O24" s="311"/>
      <c r="P24" s="311"/>
      <c r="Q24" s="311"/>
      <c r="R24" s="311"/>
      <c r="S24" s="311"/>
      <c r="T24" s="311"/>
      <c r="U24" s="311"/>
      <c r="V24" s="311"/>
      <c r="W24" s="311"/>
      <c r="X24" s="311"/>
      <c r="Y24" s="311"/>
      <c r="Z24" s="311"/>
      <c r="AA24" s="311"/>
    </row>
    <row r="25" spans="1:27" ht="12" customHeight="1">
      <c r="A25" s="358"/>
      <c r="B25" s="924" t="s">
        <v>146</v>
      </c>
      <c r="C25" s="925">
        <v>36225</v>
      </c>
      <c r="D25" s="302">
        <v>32</v>
      </c>
      <c r="E25" s="298"/>
      <c r="F25" s="298">
        <v>12</v>
      </c>
      <c r="G25" s="298"/>
      <c r="H25" s="298"/>
      <c r="I25" s="299"/>
      <c r="J25" s="358"/>
      <c r="K25" s="307"/>
      <c r="L25" s="315"/>
      <c r="M25" s="316"/>
      <c r="N25" s="311"/>
      <c r="O25" s="311"/>
      <c r="P25" s="311"/>
      <c r="Q25" s="311"/>
      <c r="R25" s="311"/>
      <c r="S25" s="311"/>
      <c r="T25" s="311"/>
      <c r="U25" s="311"/>
      <c r="V25" s="311"/>
      <c r="W25" s="311"/>
      <c r="X25" s="311"/>
      <c r="Y25" s="311"/>
      <c r="Z25" s="311"/>
      <c r="AA25" s="311"/>
    </row>
    <row r="26" spans="1:27" ht="12" customHeight="1">
      <c r="A26" s="358"/>
      <c r="B26" s="924" t="s">
        <v>147</v>
      </c>
      <c r="C26" s="925">
        <v>36317</v>
      </c>
      <c r="D26" s="302">
        <v>21</v>
      </c>
      <c r="E26" s="1114"/>
      <c r="F26" s="298">
        <v>34</v>
      </c>
      <c r="G26" s="298"/>
      <c r="H26" s="298"/>
      <c r="I26" s="299"/>
      <c r="J26" s="358"/>
      <c r="K26" s="307"/>
      <c r="L26" s="315"/>
      <c r="M26" s="316"/>
      <c r="N26" s="311"/>
      <c r="O26" s="311"/>
      <c r="P26" s="311"/>
      <c r="Q26" s="311"/>
      <c r="R26" s="311"/>
      <c r="S26" s="311"/>
      <c r="T26" s="311"/>
      <c r="U26" s="311"/>
      <c r="V26" s="311"/>
      <c r="W26" s="311"/>
      <c r="X26" s="311"/>
      <c r="Y26" s="311"/>
      <c r="Z26" s="311"/>
      <c r="AA26" s="311"/>
    </row>
    <row r="27" spans="1:27" ht="12" customHeight="1">
      <c r="A27" s="358"/>
      <c r="B27" s="924" t="s">
        <v>148</v>
      </c>
      <c r="C27" s="925">
        <v>36430</v>
      </c>
      <c r="D27" s="302">
        <v>21</v>
      </c>
      <c r="E27" s="298"/>
      <c r="F27" s="298"/>
      <c r="G27" s="298"/>
      <c r="H27" s="298"/>
      <c r="I27" s="299"/>
      <c r="J27" s="358"/>
      <c r="K27" s="307"/>
      <c r="L27" s="315"/>
      <c r="M27" s="316"/>
      <c r="N27" s="311"/>
      <c r="O27" s="311"/>
      <c r="P27" s="311"/>
      <c r="Q27" s="311"/>
      <c r="R27" s="311"/>
      <c r="S27" s="311"/>
      <c r="T27" s="311"/>
      <c r="U27" s="311"/>
      <c r="V27" s="311"/>
      <c r="W27" s="311"/>
      <c r="X27" s="311"/>
      <c r="Y27" s="311"/>
      <c r="Z27" s="311"/>
      <c r="AA27" s="311"/>
    </row>
    <row r="28" spans="1:27" ht="12" customHeight="1">
      <c r="A28" s="358"/>
      <c r="B28" s="924" t="s">
        <v>149</v>
      </c>
      <c r="C28" s="925">
        <v>36510</v>
      </c>
      <c r="D28" s="302">
        <v>37</v>
      </c>
      <c r="E28" s="298"/>
      <c r="F28" s="298"/>
      <c r="G28" s="298"/>
      <c r="H28" s="298"/>
      <c r="I28" s="299"/>
      <c r="J28" s="358"/>
      <c r="K28" s="307"/>
      <c r="L28" s="315"/>
      <c r="M28" s="316"/>
      <c r="N28" s="311"/>
      <c r="O28" s="311"/>
      <c r="P28" s="311"/>
      <c r="Q28" s="311"/>
      <c r="R28" s="311"/>
      <c r="S28" s="311"/>
      <c r="T28" s="311"/>
      <c r="U28" s="311"/>
      <c r="V28" s="311"/>
      <c r="W28" s="311"/>
      <c r="X28" s="311"/>
      <c r="Y28" s="311"/>
      <c r="Z28" s="311"/>
      <c r="AA28" s="311"/>
    </row>
    <row r="29" spans="1:27" ht="12" customHeight="1">
      <c r="A29" s="358"/>
      <c r="B29" s="924" t="s">
        <v>150</v>
      </c>
      <c r="C29" s="925">
        <v>36600</v>
      </c>
      <c r="D29" s="302">
        <v>22</v>
      </c>
      <c r="E29" s="298"/>
      <c r="F29" s="298"/>
      <c r="G29" s="298"/>
      <c r="H29" s="298"/>
      <c r="I29" s="299"/>
      <c r="J29" s="358"/>
      <c r="K29" s="307"/>
      <c r="L29" s="315"/>
      <c r="M29" s="316"/>
      <c r="N29" s="311"/>
      <c r="O29" s="311"/>
      <c r="P29" s="311"/>
      <c r="Q29" s="311"/>
      <c r="R29" s="311"/>
      <c r="S29" s="311"/>
      <c r="T29" s="311"/>
      <c r="U29" s="311"/>
      <c r="V29" s="311"/>
      <c r="W29" s="311"/>
      <c r="X29" s="311"/>
      <c r="Y29" s="311"/>
      <c r="Z29" s="311"/>
      <c r="AA29" s="311"/>
    </row>
    <row r="30" spans="1:27" ht="12" customHeight="1" thickBot="1">
      <c r="A30" s="358"/>
      <c r="B30" s="926" t="s">
        <v>151</v>
      </c>
      <c r="C30" s="927">
        <v>36698</v>
      </c>
      <c r="D30" s="303"/>
      <c r="E30" s="300"/>
      <c r="F30" s="300"/>
      <c r="G30" s="300"/>
      <c r="H30" s="300"/>
      <c r="I30" s="301"/>
      <c r="J30" s="358"/>
      <c r="K30" s="307"/>
      <c r="L30" s="315"/>
      <c r="M30" s="316"/>
      <c r="N30" s="311"/>
      <c r="O30" s="311"/>
      <c r="P30" s="311"/>
      <c r="Q30" s="311"/>
      <c r="R30" s="311"/>
      <c r="S30" s="311"/>
      <c r="T30" s="311"/>
      <c r="U30" s="311"/>
      <c r="V30" s="311"/>
      <c r="W30" s="311"/>
      <c r="X30" s="311"/>
      <c r="Y30" s="311"/>
      <c r="Z30" s="311"/>
      <c r="AA30" s="311"/>
    </row>
    <row r="31" spans="1:27" ht="2.25" customHeight="1">
      <c r="A31" s="358"/>
      <c r="B31" s="374"/>
      <c r="C31" s="375"/>
      <c r="D31" s="376"/>
      <c r="E31" s="376"/>
      <c r="F31" s="376"/>
      <c r="G31" s="376"/>
      <c r="H31" s="376"/>
      <c r="I31" s="376"/>
      <c r="J31" s="358"/>
      <c r="K31" s="307"/>
      <c r="L31" s="317"/>
      <c r="M31" s="316"/>
      <c r="N31" s="311"/>
      <c r="O31" s="311"/>
      <c r="P31" s="311"/>
      <c r="Q31" s="311"/>
      <c r="R31" s="311"/>
      <c r="S31" s="311"/>
      <c r="T31" s="311"/>
      <c r="U31" s="311"/>
      <c r="V31" s="311"/>
      <c r="W31" s="311"/>
      <c r="X31" s="311"/>
      <c r="Y31" s="311"/>
      <c r="Z31" s="311"/>
      <c r="AA31" s="311"/>
    </row>
    <row r="32" spans="1:27" ht="12" customHeight="1" thickBot="1">
      <c r="A32" s="358"/>
      <c r="B32" s="842" t="s">
        <v>417</v>
      </c>
      <c r="C32" s="375"/>
      <c r="D32" s="376"/>
      <c r="E32" s="376"/>
      <c r="F32" s="376"/>
      <c r="G32" s="376"/>
      <c r="H32" s="376"/>
      <c r="I32" s="376"/>
      <c r="J32" s="358"/>
      <c r="K32" s="307"/>
      <c r="L32" s="317"/>
      <c r="M32" s="316"/>
      <c r="N32" s="311"/>
      <c r="O32" s="311"/>
      <c r="P32" s="311"/>
      <c r="Q32" s="311"/>
      <c r="R32" s="311"/>
      <c r="S32" s="311"/>
      <c r="T32" s="311"/>
      <c r="U32" s="311"/>
      <c r="V32" s="311"/>
      <c r="W32" s="311"/>
      <c r="X32" s="311"/>
      <c r="Y32" s="311"/>
      <c r="Z32" s="311"/>
      <c r="AA32" s="311"/>
    </row>
    <row r="33" spans="1:27" ht="12" customHeight="1" thickBot="1">
      <c r="A33" s="358"/>
      <c r="B33" s="700"/>
      <c r="C33" s="831" t="s">
        <v>408</v>
      </c>
      <c r="D33" s="701" t="str">
        <f aca="true" t="shared" si="0" ref="D33:I33">IF(ISBLANK(D14),"",D14)</f>
        <v>Benzene</v>
      </c>
      <c r="E33" s="701" t="str">
        <f t="shared" si="0"/>
        <v>Toluene</v>
      </c>
      <c r="F33" s="701" t="str">
        <f t="shared" si="0"/>
        <v>Naphthalene</v>
      </c>
      <c r="G33" s="701" t="str">
        <f t="shared" si="0"/>
        <v>Xylenes</v>
      </c>
      <c r="H33" s="701" t="str">
        <f t="shared" si="0"/>
        <v>MTBE</v>
      </c>
      <c r="I33" s="768" t="str">
        <f t="shared" si="0"/>
        <v>Ethylbenzene</v>
      </c>
      <c r="J33" s="358"/>
      <c r="K33" s="307"/>
      <c r="L33" s="317"/>
      <c r="M33" s="316"/>
      <c r="N33" s="311"/>
      <c r="O33" s="311"/>
      <c r="P33" s="311"/>
      <c r="Q33" s="311"/>
      <c r="R33" s="311"/>
      <c r="S33" s="311"/>
      <c r="T33" s="311"/>
      <c r="U33" s="311"/>
      <c r="V33" s="311"/>
      <c r="W33" s="311"/>
      <c r="X33" s="311"/>
      <c r="Y33" s="311"/>
      <c r="Z33" s="311"/>
      <c r="AA33" s="311"/>
    </row>
    <row r="34" spans="1:27" ht="12.75" customHeight="1" thickTop="1">
      <c r="A34" s="358"/>
      <c r="B34" s="702"/>
      <c r="C34" s="832" t="s">
        <v>340</v>
      </c>
      <c r="D34" s="778">
        <f aca="true" t="shared" si="1" ref="D34:I34">IF(D39&lt;4,"NA",IF(D$43="DATA ERR","ERROR",IF(D$43="DATE ERR","ERROR",IF(ABS(D38)&gt;100,1,1-IF(ISBLANK(HLOOKUP(D39,K_table,ABS(D38)+2,FALSE)),(HLOOKUP(D39,K_table,ABS(D38)+1,FALSE)),(HLOOKUP(D39,K_table,ABS(D38)+2,FALSE)))))))</f>
        <v>1</v>
      </c>
      <c r="E34" s="779">
        <f t="shared" si="1"/>
        <v>0.694</v>
      </c>
      <c r="F34" s="779">
        <f t="shared" si="1"/>
        <v>0.995</v>
      </c>
      <c r="G34" s="779">
        <f t="shared" si="1"/>
        <v>0.81</v>
      </c>
      <c r="H34" s="779">
        <f t="shared" si="1"/>
        <v>0.7</v>
      </c>
      <c r="I34" s="780" t="str">
        <f t="shared" si="1"/>
        <v>NA</v>
      </c>
      <c r="J34" s="358"/>
      <c r="K34" s="307"/>
      <c r="L34" s="317"/>
      <c r="M34" s="316"/>
      <c r="N34" s="311"/>
      <c r="O34" s="311"/>
      <c r="P34" s="311"/>
      <c r="Q34" s="311"/>
      <c r="R34" s="311"/>
      <c r="S34" s="311"/>
      <c r="T34" s="311"/>
      <c r="U34" s="311"/>
      <c r="V34" s="311"/>
      <c r="W34" s="311"/>
      <c r="X34" s="311"/>
      <c r="Y34" s="311"/>
      <c r="Z34" s="311"/>
      <c r="AA34" s="311"/>
    </row>
    <row r="35" spans="1:27" ht="11.25" customHeight="1">
      <c r="A35" s="358"/>
      <c r="B35" s="703"/>
      <c r="C35" s="833" t="s">
        <v>328</v>
      </c>
      <c r="D35" s="769" t="str">
        <f aca="true" t="shared" si="2" ref="D35:I35">IF(D39&lt;4,"NA",IF(D$43="DATA ERR","ERROR",IF(D$43="DATE ERR","ERROR",IF(AND(D34&gt;K_CL,D38&lt;0),"Shrinking",IF(AND(D34&gt;K_CL,D38&gt;0),"Expanding",IF(D42&lt;1,"Stable","Undetermined"))))))</f>
        <v>Shrinking</v>
      </c>
      <c r="E35" s="704" t="str">
        <f t="shared" si="2"/>
        <v>Stable</v>
      </c>
      <c r="F35" s="704" t="str">
        <f t="shared" si="2"/>
        <v>Expanding</v>
      </c>
      <c r="G35" s="704" t="str">
        <f t="shared" si="2"/>
        <v>Stable</v>
      </c>
      <c r="H35" s="704" t="str">
        <f t="shared" si="2"/>
        <v>Undetermined</v>
      </c>
      <c r="I35" s="705" t="str">
        <f t="shared" si="2"/>
        <v>NA</v>
      </c>
      <c r="J35" s="358"/>
      <c r="K35" s="307"/>
      <c r="L35" s="317"/>
      <c r="M35" s="316"/>
      <c r="N35" s="311"/>
      <c r="O35" s="311"/>
      <c r="P35" s="311"/>
      <c r="Q35" s="311"/>
      <c r="R35" s="311"/>
      <c r="S35" s="311"/>
      <c r="T35" s="311"/>
      <c r="U35" s="311"/>
      <c r="V35" s="311"/>
      <c r="W35" s="311"/>
      <c r="X35" s="311"/>
      <c r="Y35" s="311"/>
      <c r="Z35" s="311"/>
      <c r="AA35" s="311"/>
    </row>
    <row r="36" spans="1:27" ht="11.25" customHeight="1" thickBot="1">
      <c r="A36" s="358"/>
      <c r="B36" s="706"/>
      <c r="C36" s="834" t="s">
        <v>338</v>
      </c>
      <c r="D36" s="770">
        <f aca="true" t="shared" si="3" ref="D36:I36">IF(D$43="DATA ERR","ERROR",IF(D$43="DATE ERR","ERROR",IF(D$39&lt;4,"n&lt;4",IF(D34&lt;K_CL,IF(D42&lt;=1,"CV &lt;= 1","CV &gt; 1"),""))))</f>
      </c>
      <c r="E36" s="707" t="str">
        <f t="shared" si="3"/>
        <v>CV &lt;= 1</v>
      </c>
      <c r="F36" s="707">
        <f t="shared" si="3"/>
      </c>
      <c r="G36" s="707" t="str">
        <f t="shared" si="3"/>
        <v>CV &lt;= 1</v>
      </c>
      <c r="H36" s="707" t="str">
        <f t="shared" si="3"/>
        <v>CV &gt; 1</v>
      </c>
      <c r="I36" s="708" t="str">
        <f t="shared" si="3"/>
        <v>n&lt;4</v>
      </c>
      <c r="J36" s="358"/>
      <c r="K36" s="307"/>
      <c r="L36" s="317"/>
      <c r="M36" s="316"/>
      <c r="N36" s="311"/>
      <c r="O36" s="311"/>
      <c r="P36" s="311"/>
      <c r="Q36" s="311"/>
      <c r="R36" s="311"/>
      <c r="S36" s="311"/>
      <c r="T36" s="311"/>
      <c r="U36" s="311"/>
      <c r="V36" s="311"/>
      <c r="W36" s="311"/>
      <c r="X36" s="311"/>
      <c r="Y36" s="311"/>
      <c r="Z36" s="311"/>
      <c r="AA36" s="311"/>
    </row>
    <row r="37" spans="1:27" ht="11.25" customHeight="1" hidden="1" thickTop="1">
      <c r="A37" s="358"/>
      <c r="B37" s="709"/>
      <c r="C37" s="835"/>
      <c r="D37" s="771"/>
      <c r="E37" s="710"/>
      <c r="F37" s="710"/>
      <c r="G37" s="710"/>
      <c r="H37" s="710"/>
      <c r="I37" s="711"/>
      <c r="J37" s="358"/>
      <c r="K37" s="307"/>
      <c r="L37" s="307"/>
      <c r="M37" s="307"/>
      <c r="N37" s="311"/>
      <c r="O37" s="311"/>
      <c r="P37" s="311"/>
      <c r="Q37" s="311"/>
      <c r="R37" s="311"/>
      <c r="S37" s="311"/>
      <c r="T37" s="311"/>
      <c r="U37" s="311"/>
      <c r="V37" s="311"/>
      <c r="W37" s="311"/>
      <c r="X37" s="311"/>
      <c r="Y37" s="311"/>
      <c r="Z37" s="311"/>
      <c r="AA37" s="311"/>
    </row>
    <row r="38" spans="1:27" ht="13.5" customHeight="1" thickTop="1">
      <c r="A38" s="358"/>
      <c r="B38" s="712"/>
      <c r="C38" s="832" t="s">
        <v>367</v>
      </c>
      <c r="D38" s="772">
        <f>IF(D$43="DATA ERR","ERROR",IF(D$43="DATE ERR","ERROR",+S89))</f>
        <v>-63</v>
      </c>
      <c r="E38" s="713">
        <f>IF(E$43="DATA ERR","ERROR",IF(E$43="DATE ERR","ERROR",+S109))</f>
        <v>-6</v>
      </c>
      <c r="F38" s="713">
        <f>IF(F$43="DATA ERR","ERROR",IF(F$43="DATE ERR","ERROR",+S129))</f>
        <v>33</v>
      </c>
      <c r="G38" s="713">
        <f>IF(G$43="DATA ERR","ERROR",IF(G$43="DATE ERR","ERROR",+S149))</f>
        <v>11</v>
      </c>
      <c r="H38" s="713">
        <f>IF(H$43="DATA ERR","ERROR",IF(H$43="DATE ERR","ERROR",+S169))</f>
        <v>-7</v>
      </c>
      <c r="I38" s="714">
        <f>IF(I$43="DATA ERR","ERROR",IF(I$43="DATE ERR","ERROR",+S189))</f>
        <v>-1</v>
      </c>
      <c r="J38" s="358"/>
      <c r="K38" s="307"/>
      <c r="L38" s="307"/>
      <c r="M38" s="307"/>
      <c r="N38" s="311"/>
      <c r="O38" s="311"/>
      <c r="P38" s="311"/>
      <c r="Q38" s="311"/>
      <c r="R38" s="311"/>
      <c r="S38" s="311"/>
      <c r="T38" s="311"/>
      <c r="U38" s="311"/>
      <c r="V38" s="311"/>
      <c r="W38" s="311"/>
      <c r="X38" s="311"/>
      <c r="Y38" s="311"/>
      <c r="Z38" s="311"/>
      <c r="AA38" s="311"/>
    </row>
    <row r="39" spans="1:27" ht="13.5" customHeight="1">
      <c r="A39" s="358"/>
      <c r="B39" s="715"/>
      <c r="C39" s="836" t="s">
        <v>339</v>
      </c>
      <c r="D39" s="769">
        <f aca="true" t="shared" si="4" ref="D39:I39">COUNTA(D15:D30)</f>
        <v>13</v>
      </c>
      <c r="E39" s="704">
        <f t="shared" si="4"/>
        <v>9</v>
      </c>
      <c r="F39" s="704">
        <f t="shared" si="4"/>
        <v>11</v>
      </c>
      <c r="G39" s="704">
        <f t="shared" si="4"/>
        <v>10</v>
      </c>
      <c r="H39" s="704">
        <f t="shared" si="4"/>
        <v>10</v>
      </c>
      <c r="I39" s="705">
        <f t="shared" si="4"/>
        <v>3</v>
      </c>
      <c r="J39" s="358"/>
      <c r="K39" s="307"/>
      <c r="L39" s="311"/>
      <c r="M39" s="311"/>
      <c r="N39" s="311"/>
      <c r="O39" s="311"/>
      <c r="P39" s="311"/>
      <c r="Q39" s="311"/>
      <c r="R39" s="311"/>
      <c r="S39" s="311"/>
      <c r="T39" s="311"/>
      <c r="U39" s="311"/>
      <c r="V39" s="311"/>
      <c r="W39" s="311"/>
      <c r="X39" s="311"/>
      <c r="Y39" s="311"/>
      <c r="Z39" s="311"/>
      <c r="AA39" s="311"/>
    </row>
    <row r="40" spans="1:27" ht="13.5" customHeight="1">
      <c r="A40" s="358"/>
      <c r="B40" s="715"/>
      <c r="C40" s="836" t="s">
        <v>337</v>
      </c>
      <c r="D40" s="773">
        <f aca="true" t="shared" si="5" ref="D40:I40">IF(D39=0,"NA",IF(D$43="DATA ERR","ERROR",IF(D$43="DATE ERR","ERROR",AVERAGEA(D15:D30))))</f>
        <v>446.2307692307692</v>
      </c>
      <c r="E40" s="716">
        <f t="shared" si="5"/>
        <v>19.599999999999998</v>
      </c>
      <c r="F40" s="716">
        <f t="shared" si="5"/>
        <v>15.363636363636363</v>
      </c>
      <c r="G40" s="716">
        <f t="shared" si="5"/>
        <v>352.7</v>
      </c>
      <c r="H40" s="716">
        <f t="shared" si="5"/>
        <v>23.38</v>
      </c>
      <c r="I40" s="774">
        <f t="shared" si="5"/>
        <v>30.666666666666668</v>
      </c>
      <c r="J40" s="358"/>
      <c r="K40" s="307"/>
      <c r="L40" s="311"/>
      <c r="M40" s="311"/>
      <c r="N40" s="311"/>
      <c r="O40" s="311"/>
      <c r="P40" s="311"/>
      <c r="Q40" s="311"/>
      <c r="R40" s="311"/>
      <c r="S40" s="311"/>
      <c r="T40" s="311"/>
      <c r="U40" s="311"/>
      <c r="V40" s="311"/>
      <c r="W40" s="311"/>
      <c r="X40" s="311"/>
      <c r="Y40" s="311"/>
      <c r="Z40" s="311"/>
      <c r="AA40" s="311"/>
    </row>
    <row r="41" spans="1:27" ht="13.5" customHeight="1">
      <c r="A41" s="358"/>
      <c r="B41" s="715"/>
      <c r="C41" s="836" t="s">
        <v>335</v>
      </c>
      <c r="D41" s="773">
        <f aca="true" t="shared" si="6" ref="D41:I41">IF(D39=0,"NA",IF(D$43="DATA ERR","ERROR",IF(D$43="DATE ERR","ERROR",STDEVA(D15:D30))))</f>
        <v>659.2575563776464</v>
      </c>
      <c r="E41" s="716">
        <f t="shared" si="6"/>
        <v>10.789810007595134</v>
      </c>
      <c r="F41" s="716">
        <f t="shared" si="6"/>
        <v>8.078028562374946</v>
      </c>
      <c r="G41" s="716">
        <f t="shared" si="6"/>
        <v>286.1266425126391</v>
      </c>
      <c r="H41" s="716">
        <f t="shared" si="6"/>
        <v>31.39443687449524</v>
      </c>
      <c r="I41" s="774">
        <f t="shared" si="6"/>
        <v>16.921386861996073</v>
      </c>
      <c r="J41" s="358"/>
      <c r="K41" s="307"/>
      <c r="L41" s="311"/>
      <c r="M41" s="311"/>
      <c r="N41" s="311"/>
      <c r="O41" s="311"/>
      <c r="P41" s="311"/>
      <c r="Q41" s="311"/>
      <c r="R41" s="311"/>
      <c r="S41" s="311"/>
      <c r="T41" s="311"/>
      <c r="U41" s="311"/>
      <c r="V41" s="311"/>
      <c r="W41" s="311"/>
      <c r="X41" s="311"/>
      <c r="Y41" s="311"/>
      <c r="Z41" s="311"/>
      <c r="AA41" s="311"/>
    </row>
    <row r="42" spans="1:27" ht="13.5" customHeight="1" thickBot="1">
      <c r="A42" s="358"/>
      <c r="B42" s="717"/>
      <c r="C42" s="834" t="s">
        <v>338</v>
      </c>
      <c r="D42" s="775">
        <f aca="true" t="shared" si="7" ref="D42:I42">IF(D39=0,"NA",IF(D$43="DATA ERR","ERROR",IF(D$43="DATE ERR","ERROR",D41/D40)))</f>
        <v>1.4773915243767288</v>
      </c>
      <c r="E42" s="718">
        <f t="shared" si="7"/>
        <v>0.5505005105915886</v>
      </c>
      <c r="F42" s="718">
        <f t="shared" si="7"/>
        <v>0.5257888413380143</v>
      </c>
      <c r="G42" s="718">
        <f t="shared" si="7"/>
        <v>0.8112465055646132</v>
      </c>
      <c r="H42" s="718">
        <f t="shared" si="7"/>
        <v>1.3427902854788385</v>
      </c>
      <c r="I42" s="776">
        <f t="shared" si="7"/>
        <v>0.5517843541955241</v>
      </c>
      <c r="J42" s="358"/>
      <c r="K42" s="307"/>
      <c r="L42" s="311"/>
      <c r="M42" s="311"/>
      <c r="N42" s="311"/>
      <c r="O42" s="311"/>
      <c r="P42" s="311"/>
      <c r="Q42" s="311"/>
      <c r="R42" s="311"/>
      <c r="S42" s="311"/>
      <c r="T42" s="311"/>
      <c r="U42" s="311"/>
      <c r="V42" s="311"/>
      <c r="W42" s="311"/>
      <c r="X42" s="311"/>
      <c r="Y42" s="311"/>
      <c r="Z42" s="311"/>
      <c r="AA42" s="311"/>
    </row>
    <row r="43" spans="1:46" ht="15" customHeight="1" thickBot="1" thickTop="1">
      <c r="A43" s="358"/>
      <c r="B43" s="719"/>
      <c r="C43" s="837" t="s">
        <v>333</v>
      </c>
      <c r="D43" s="777" t="str">
        <f aca="true" t="shared" si="8" ref="D43:I43">IF(D209="ERROR","DATA ERR",IF($D229="ERROR","DATE ERR",IF($E229="ERROR","DATE ERR",IF($F229="ERROR","DATE ERR",IF(D39&lt;4,"n&lt;4","  ")))))</f>
        <v>  </v>
      </c>
      <c r="E43" s="720" t="str">
        <f t="shared" si="8"/>
        <v>  </v>
      </c>
      <c r="F43" s="720" t="str">
        <f t="shared" si="8"/>
        <v>  </v>
      </c>
      <c r="G43" s="720" t="str">
        <f t="shared" si="8"/>
        <v>  </v>
      </c>
      <c r="H43" s="720" t="str">
        <f t="shared" si="8"/>
        <v>  </v>
      </c>
      <c r="I43" s="721" t="str">
        <f t="shared" si="8"/>
        <v>n&lt;4</v>
      </c>
      <c r="J43" s="358"/>
      <c r="K43" s="307"/>
      <c r="L43" s="311"/>
      <c r="M43" s="311"/>
      <c r="N43" s="311"/>
      <c r="O43" s="311"/>
      <c r="P43" s="311"/>
      <c r="Q43" s="311"/>
      <c r="R43" s="311"/>
      <c r="S43" s="311"/>
      <c r="T43" s="311"/>
      <c r="U43" s="311"/>
      <c r="V43" s="311"/>
      <c r="W43" s="311"/>
      <c r="X43" s="311"/>
      <c r="Y43" s="311"/>
      <c r="Z43" s="311"/>
      <c r="AA43" s="311"/>
      <c r="AK43" s="322" t="s">
        <v>15</v>
      </c>
      <c r="AL43" s="785" t="str">
        <f>D46</f>
        <v>Toluene</v>
      </c>
      <c r="AM43" s="309"/>
      <c r="AN43" s="308"/>
      <c r="AO43" s="291"/>
      <c r="AP43" s="291"/>
      <c r="AQ43" s="291"/>
      <c r="AR43" s="291"/>
      <c r="AS43" s="291"/>
      <c r="AT43" s="291"/>
    </row>
    <row r="44" spans="1:46" ht="1.5" customHeight="1">
      <c r="A44" s="358"/>
      <c r="B44" s="358"/>
      <c r="C44" s="358"/>
      <c r="D44" s="377"/>
      <c r="E44" s="377"/>
      <c r="F44" s="377"/>
      <c r="G44" s="377"/>
      <c r="H44" s="377"/>
      <c r="I44" s="377"/>
      <c r="J44" s="358"/>
      <c r="K44" s="307"/>
      <c r="L44" s="311"/>
      <c r="M44" s="311"/>
      <c r="N44" s="311"/>
      <c r="O44" s="311"/>
      <c r="P44" s="311"/>
      <c r="Q44" s="311"/>
      <c r="R44" s="311"/>
      <c r="S44" s="311"/>
      <c r="T44" s="311"/>
      <c r="U44" s="311"/>
      <c r="V44" s="311"/>
      <c r="W44" s="311"/>
      <c r="X44" s="311"/>
      <c r="Y44" s="311"/>
      <c r="Z44" s="311"/>
      <c r="AA44" s="311"/>
      <c r="AK44" s="786">
        <f aca="true" t="shared" si="9" ref="AK44:AK59">IF(ISBLANK(C15),#N/A,C15)</f>
        <v>35213</v>
      </c>
      <c r="AL44" s="787">
        <f>IF(ISBLANK(HLOOKUP($AL$43,Mann_data,2,FALSE)),#N/A,HLOOKUP($AL$43,Mann_data,2,FALSE))</f>
        <v>38</v>
      </c>
      <c r="AM44" s="309"/>
      <c r="AN44" s="308"/>
      <c r="AO44" s="291"/>
      <c r="AP44" s="291"/>
      <c r="AQ44" s="291"/>
      <c r="AR44" s="291"/>
      <c r="AS44" s="291"/>
      <c r="AT44" s="291"/>
    </row>
    <row r="45" spans="1:46" s="308" customFormat="1" ht="12" customHeight="1" thickBot="1">
      <c r="A45" s="358"/>
      <c r="B45" s="841" t="s">
        <v>341</v>
      </c>
      <c r="C45" s="378"/>
      <c r="D45" s="378"/>
      <c r="E45" s="378"/>
      <c r="F45" s="378"/>
      <c r="G45" s="378"/>
      <c r="H45" s="378"/>
      <c r="I45" s="378"/>
      <c r="J45" s="358"/>
      <c r="K45" s="307"/>
      <c r="L45" s="307"/>
      <c r="M45" s="307"/>
      <c r="N45" s="307"/>
      <c r="O45" s="307"/>
      <c r="P45" s="307"/>
      <c r="Q45" s="307"/>
      <c r="R45" s="307"/>
      <c r="S45" s="307"/>
      <c r="T45" s="307"/>
      <c r="U45" s="307"/>
      <c r="V45" s="307"/>
      <c r="W45" s="307"/>
      <c r="X45" s="307"/>
      <c r="Y45" s="307"/>
      <c r="Z45" s="307"/>
      <c r="AA45" s="307"/>
      <c r="AK45" s="786">
        <f t="shared" si="9"/>
        <v>35243</v>
      </c>
      <c r="AL45" s="787">
        <f>IF(ISBLANK(HLOOKUP($AL$43,Mann_data,3,FALSE)),#N/A,HLOOKUP($AL$43,Mann_data,3,FALSE))</f>
        <v>18</v>
      </c>
      <c r="AM45" s="309"/>
      <c r="AO45" s="291"/>
      <c r="AP45" s="291"/>
      <c r="AQ45" s="291"/>
      <c r="AR45" s="291"/>
      <c r="AS45" s="291"/>
      <c r="AT45" s="291"/>
    </row>
    <row r="46" spans="1:46" s="308" customFormat="1" ht="10.5" customHeight="1" thickBot="1">
      <c r="A46" s="358"/>
      <c r="B46" s="379"/>
      <c r="C46" s="380" t="s">
        <v>407</v>
      </c>
      <c r="D46" s="824" t="s">
        <v>26</v>
      </c>
      <c r="E46" s="378"/>
      <c r="F46" s="378"/>
      <c r="G46" s="378"/>
      <c r="H46" s="378"/>
      <c r="I46" s="378"/>
      <c r="J46" s="358"/>
      <c r="K46" s="307"/>
      <c r="L46" s="307"/>
      <c r="M46" s="307"/>
      <c r="N46" s="307"/>
      <c r="O46" s="307"/>
      <c r="P46" s="307"/>
      <c r="Q46" s="307"/>
      <c r="R46" s="307"/>
      <c r="S46" s="307"/>
      <c r="T46" s="307"/>
      <c r="U46" s="307"/>
      <c r="V46" s="307"/>
      <c r="W46" s="307"/>
      <c r="X46" s="307"/>
      <c r="Y46" s="307"/>
      <c r="Z46" s="307"/>
      <c r="AA46" s="307"/>
      <c r="AK46" s="786">
        <f t="shared" si="9"/>
        <v>35394</v>
      </c>
      <c r="AL46" s="787">
        <f>IF(ISBLANK(HLOOKUP($AL$43,Mann_data,4,FALSE)),#N/A,HLOOKUP($AL$43,Mann_data,4,FALSE))</f>
        <v>16</v>
      </c>
      <c r="AM46" s="309"/>
      <c r="AN46" s="790" t="s">
        <v>60</v>
      </c>
      <c r="AO46" s="784" t="str">
        <f aca="true" t="shared" si="10" ref="AO46:AT46">IF(ISBLANK(D33),"",D33)</f>
        <v>Benzene</v>
      </c>
      <c r="AP46" s="784" t="str">
        <f t="shared" si="10"/>
        <v>Toluene</v>
      </c>
      <c r="AQ46" s="784" t="str">
        <f t="shared" si="10"/>
        <v>Naphthalene</v>
      </c>
      <c r="AR46" s="784" t="str">
        <f t="shared" si="10"/>
        <v>Xylenes</v>
      </c>
      <c r="AS46" s="784" t="str">
        <f t="shared" si="10"/>
        <v>MTBE</v>
      </c>
      <c r="AT46" s="784" t="str">
        <f t="shared" si="10"/>
        <v>Ethylbenzene</v>
      </c>
    </row>
    <row r="47" spans="1:46" s="308" customFormat="1" ht="11.25" customHeight="1">
      <c r="A47" s="358"/>
      <c r="B47" s="379"/>
      <c r="C47" s="380" t="s">
        <v>328</v>
      </c>
      <c r="D47" s="825" t="str">
        <f>AL61</f>
        <v>Stable</v>
      </c>
      <c r="E47" s="378"/>
      <c r="F47" s="378"/>
      <c r="G47" s="378"/>
      <c r="H47" s="378"/>
      <c r="I47" s="378"/>
      <c r="J47" s="358"/>
      <c r="K47" s="307"/>
      <c r="L47" s="307"/>
      <c r="M47" s="307"/>
      <c r="N47" s="307"/>
      <c r="O47" s="307"/>
      <c r="P47" s="307"/>
      <c r="Q47" s="307"/>
      <c r="R47" s="307"/>
      <c r="S47" s="307"/>
      <c r="T47" s="307"/>
      <c r="U47" s="307"/>
      <c r="V47" s="307"/>
      <c r="W47" s="307"/>
      <c r="X47" s="307"/>
      <c r="Y47" s="307"/>
      <c r="Z47" s="307"/>
      <c r="AA47" s="307"/>
      <c r="AK47" s="786">
        <f t="shared" si="9"/>
        <v>35493</v>
      </c>
      <c r="AL47" s="787">
        <f>IF(ISBLANK(HLOOKUP($AL$43,Mann_data,5,FALSE)),#N/A,HLOOKUP($AL$43,Mann_data,5,FALSE))</f>
        <v>33</v>
      </c>
      <c r="AM47" s="309"/>
      <c r="AN47" s="791">
        <f>IF(ISBLANK(C16),#N/A,C16)</f>
        <v>35243</v>
      </c>
      <c r="AO47" s="291">
        <f>IF(ISBLANK(D15),#N/A,D15)</f>
        <v>1900</v>
      </c>
      <c r="AP47" s="291">
        <f aca="true" t="shared" si="11" ref="AP47:AT61">IF(ISBLANK(E15),#N/A,E15)</f>
        <v>38</v>
      </c>
      <c r="AQ47" s="291">
        <f t="shared" si="11"/>
        <v>9</v>
      </c>
      <c r="AR47" s="291">
        <f t="shared" si="11"/>
        <v>150</v>
      </c>
      <c r="AS47" s="291">
        <f t="shared" si="11"/>
        <v>4.4</v>
      </c>
      <c r="AT47" s="781">
        <f t="shared" si="11"/>
        <v>35</v>
      </c>
    </row>
    <row r="48" spans="1:46" s="308" customFormat="1" ht="11.25" customHeight="1">
      <c r="A48" s="358"/>
      <c r="B48" s="379"/>
      <c r="C48" s="380"/>
      <c r="D48" s="383"/>
      <c r="E48" s="378"/>
      <c r="F48" s="378"/>
      <c r="G48" s="378"/>
      <c r="H48" s="378"/>
      <c r="I48" s="378"/>
      <c r="J48" s="358"/>
      <c r="K48" s="307"/>
      <c r="L48" s="307"/>
      <c r="M48" s="307"/>
      <c r="N48" s="307"/>
      <c r="O48" s="307"/>
      <c r="P48" s="307"/>
      <c r="Q48" s="307"/>
      <c r="R48" s="307"/>
      <c r="S48" s="307"/>
      <c r="T48" s="307"/>
      <c r="U48" s="307"/>
      <c r="V48" s="307"/>
      <c r="W48" s="307"/>
      <c r="X48" s="307"/>
      <c r="Y48" s="307"/>
      <c r="Z48" s="307"/>
      <c r="AA48" s="307"/>
      <c r="AK48" s="786">
        <f t="shared" si="9"/>
        <v>35578</v>
      </c>
      <c r="AL48" s="787" t="e">
        <f>IF(ISBLANK(HLOOKUP($AL$43,Mann_data,6,FALSE)),#N/A,HLOOKUP($AL$43,Mann_data,6,FALSE))</f>
        <v>#N/A</v>
      </c>
      <c r="AM48" s="309"/>
      <c r="AN48" s="791">
        <f aca="true" t="shared" si="12" ref="AN48:AN61">IF(ISBLANK(C17),#N/A,C17)</f>
        <v>35394</v>
      </c>
      <c r="AO48" s="291">
        <f aca="true" t="shared" si="13" ref="AO48:AO61">IF(ISBLANK(D16),#N/A,D16)</f>
        <v>1300</v>
      </c>
      <c r="AP48" s="291">
        <f t="shared" si="11"/>
        <v>18</v>
      </c>
      <c r="AQ48" s="291">
        <f t="shared" si="11"/>
        <v>9</v>
      </c>
      <c r="AR48" s="291">
        <f t="shared" si="11"/>
        <v>140</v>
      </c>
      <c r="AS48" s="291">
        <f t="shared" si="11"/>
        <v>89</v>
      </c>
      <c r="AT48" s="781" t="e">
        <f t="shared" si="11"/>
        <v>#N/A</v>
      </c>
    </row>
    <row r="49" spans="1:46" s="308" customFormat="1" ht="14.25" customHeight="1">
      <c r="A49" s="358"/>
      <c r="B49" s="370"/>
      <c r="C49" s="370"/>
      <c r="D49" s="370"/>
      <c r="E49" s="378"/>
      <c r="F49" s="378"/>
      <c r="G49" s="378"/>
      <c r="H49" s="378"/>
      <c r="I49" s="378"/>
      <c r="J49" s="358"/>
      <c r="K49" s="307"/>
      <c r="L49" s="307"/>
      <c r="M49" s="307"/>
      <c r="N49" s="307"/>
      <c r="O49" s="307"/>
      <c r="P49" s="307"/>
      <c r="Q49" s="307"/>
      <c r="R49" s="307"/>
      <c r="S49" s="307"/>
      <c r="T49" s="307"/>
      <c r="U49" s="307"/>
      <c r="V49" s="307"/>
      <c r="W49" s="307"/>
      <c r="X49" s="307"/>
      <c r="Y49" s="307"/>
      <c r="Z49" s="307"/>
      <c r="AA49" s="307"/>
      <c r="AK49" s="786">
        <f t="shared" si="9"/>
        <v>35668</v>
      </c>
      <c r="AL49" s="787">
        <f>IF(ISBLANK(HLOOKUP($AL$43,Mann_data,7,FALSE)),#N/A,HLOOKUP($AL$43,Mann_data,7,FALSE))</f>
        <v>7.8</v>
      </c>
      <c r="AM49" s="309"/>
      <c r="AN49" s="791">
        <f t="shared" si="12"/>
        <v>35493</v>
      </c>
      <c r="AO49" s="291">
        <f t="shared" si="13"/>
        <v>1500</v>
      </c>
      <c r="AP49" s="291">
        <f t="shared" si="11"/>
        <v>16</v>
      </c>
      <c r="AQ49" s="291">
        <f t="shared" si="11"/>
        <v>11</v>
      </c>
      <c r="AR49" s="291">
        <f t="shared" si="11"/>
        <v>270</v>
      </c>
      <c r="AS49" s="291">
        <f t="shared" si="11"/>
        <v>11</v>
      </c>
      <c r="AT49" s="781">
        <f t="shared" si="11"/>
        <v>45</v>
      </c>
    </row>
    <row r="50" spans="1:46" s="308" customFormat="1" ht="14.25" customHeight="1">
      <c r="A50" s="358"/>
      <c r="B50" s="370"/>
      <c r="C50" s="370"/>
      <c r="D50" s="370"/>
      <c r="E50" s="378"/>
      <c r="F50" s="378"/>
      <c r="G50" s="378"/>
      <c r="H50" s="378"/>
      <c r="I50" s="378"/>
      <c r="J50" s="358"/>
      <c r="K50" s="307"/>
      <c r="L50" s="307"/>
      <c r="M50" s="307"/>
      <c r="N50" s="307"/>
      <c r="O50" s="307"/>
      <c r="P50" s="307"/>
      <c r="Q50" s="307"/>
      <c r="R50" s="307"/>
      <c r="S50" s="307"/>
      <c r="T50" s="307"/>
      <c r="U50" s="307"/>
      <c r="V50" s="307"/>
      <c r="W50" s="307"/>
      <c r="X50" s="307"/>
      <c r="Y50" s="307"/>
      <c r="Z50" s="307"/>
      <c r="AA50" s="307"/>
      <c r="AK50" s="786">
        <f t="shared" si="9"/>
        <v>35843</v>
      </c>
      <c r="AL50" s="787">
        <f>IF(ISBLANK(HLOOKUP($AL$43,Mann_data,8,FALSE)),#N/A,HLOOKUP($AL$43,Mann_data,8,FALSE))</f>
        <v>3.6</v>
      </c>
      <c r="AM50" s="309"/>
      <c r="AN50" s="791">
        <f t="shared" si="12"/>
        <v>35578</v>
      </c>
      <c r="AO50" s="291" t="e">
        <f t="shared" si="13"/>
        <v>#N/A</v>
      </c>
      <c r="AP50" s="291">
        <f t="shared" si="11"/>
        <v>33</v>
      </c>
      <c r="AQ50" s="291">
        <f t="shared" si="11"/>
        <v>5</v>
      </c>
      <c r="AR50" s="291">
        <f t="shared" si="11"/>
        <v>740</v>
      </c>
      <c r="AS50" s="291">
        <f t="shared" si="11"/>
        <v>16</v>
      </c>
      <c r="AT50" s="781" t="e">
        <f t="shared" si="11"/>
        <v>#N/A</v>
      </c>
    </row>
    <row r="51" spans="1:46" s="308" customFormat="1" ht="14.25" customHeight="1">
      <c r="A51" s="358"/>
      <c r="B51" s="370"/>
      <c r="C51" s="370"/>
      <c r="D51" s="370"/>
      <c r="E51" s="378"/>
      <c r="F51" s="378"/>
      <c r="G51" s="378"/>
      <c r="H51" s="378"/>
      <c r="I51" s="378"/>
      <c r="J51" s="358"/>
      <c r="K51" s="307"/>
      <c r="L51" s="307"/>
      <c r="M51" s="307"/>
      <c r="N51" s="307"/>
      <c r="O51" s="307"/>
      <c r="P51" s="307"/>
      <c r="Q51" s="307"/>
      <c r="R51" s="307"/>
      <c r="S51" s="307"/>
      <c r="T51" s="307"/>
      <c r="U51" s="307"/>
      <c r="V51" s="307"/>
      <c r="W51" s="307"/>
      <c r="X51" s="307"/>
      <c r="Y51" s="307"/>
      <c r="Z51" s="307"/>
      <c r="AA51" s="307"/>
      <c r="AK51" s="786">
        <f t="shared" si="9"/>
        <v>35957</v>
      </c>
      <c r="AL51" s="787">
        <f>IF(ISBLANK(HLOOKUP($AL$43,Mann_data,9,FALSE)),#N/A,HLOOKUP($AL$43,Mann_data,9,FALSE))</f>
        <v>20</v>
      </c>
      <c r="AM51" s="309"/>
      <c r="AN51" s="791">
        <f t="shared" si="12"/>
        <v>35668</v>
      </c>
      <c r="AO51" s="291">
        <f t="shared" si="13"/>
        <v>350</v>
      </c>
      <c r="AP51" s="291" t="e">
        <f t="shared" si="11"/>
        <v>#N/A</v>
      </c>
      <c r="AQ51" s="291">
        <f t="shared" si="11"/>
        <v>12</v>
      </c>
      <c r="AR51" s="291">
        <f t="shared" si="11"/>
        <v>290</v>
      </c>
      <c r="AS51" s="291">
        <f t="shared" si="11"/>
        <v>8.2</v>
      </c>
      <c r="AT51" s="781">
        <f t="shared" si="11"/>
        <v>12</v>
      </c>
    </row>
    <row r="52" spans="1:46" s="308" customFormat="1" ht="14.25" customHeight="1">
      <c r="A52" s="358"/>
      <c r="B52" s="370"/>
      <c r="C52" s="370"/>
      <c r="D52" s="370"/>
      <c r="E52" s="378"/>
      <c r="F52" s="378"/>
      <c r="G52" s="378"/>
      <c r="H52" s="378"/>
      <c r="I52" s="378"/>
      <c r="J52" s="358"/>
      <c r="K52" s="307"/>
      <c r="L52" s="307"/>
      <c r="M52" s="307"/>
      <c r="N52" s="307"/>
      <c r="O52" s="307"/>
      <c r="P52" s="307"/>
      <c r="Q52" s="307"/>
      <c r="R52" s="307"/>
      <c r="S52" s="307"/>
      <c r="T52" s="307"/>
      <c r="U52" s="307"/>
      <c r="V52" s="307"/>
      <c r="W52" s="307"/>
      <c r="X52" s="307"/>
      <c r="Y52" s="307"/>
      <c r="Z52" s="307"/>
      <c r="AA52" s="307"/>
      <c r="AK52" s="786">
        <f t="shared" si="9"/>
        <v>36052</v>
      </c>
      <c r="AL52" s="787">
        <f>IF(ISBLANK(HLOOKUP($AL$43,Mann_data,10,FALSE)),#N/A,HLOOKUP($AL$43,Mann_data,10,FALSE))</f>
        <v>21</v>
      </c>
      <c r="AM52" s="309"/>
      <c r="AN52" s="791">
        <f t="shared" si="12"/>
        <v>35843</v>
      </c>
      <c r="AO52" s="291">
        <f t="shared" si="13"/>
        <v>270</v>
      </c>
      <c r="AP52" s="291">
        <f t="shared" si="11"/>
        <v>7.8</v>
      </c>
      <c r="AQ52" s="291">
        <f t="shared" si="11"/>
        <v>20</v>
      </c>
      <c r="AR52" s="291">
        <f t="shared" si="11"/>
        <v>92</v>
      </c>
      <c r="AS52" s="291">
        <f t="shared" si="11"/>
        <v>7.5</v>
      </c>
      <c r="AT52" s="781" t="e">
        <f t="shared" si="11"/>
        <v>#N/A</v>
      </c>
    </row>
    <row r="53" spans="1:46" s="308" customFormat="1" ht="14.25" customHeight="1">
      <c r="A53" s="358"/>
      <c r="B53" s="370"/>
      <c r="C53" s="370"/>
      <c r="D53" s="370"/>
      <c r="E53" s="378"/>
      <c r="F53" s="378"/>
      <c r="G53" s="378"/>
      <c r="H53" s="378"/>
      <c r="I53" s="378"/>
      <c r="J53" s="358"/>
      <c r="K53" s="307"/>
      <c r="L53" s="307"/>
      <c r="M53" s="307"/>
      <c r="N53" s="307"/>
      <c r="O53" s="307"/>
      <c r="P53" s="307"/>
      <c r="Q53" s="307"/>
      <c r="R53" s="307"/>
      <c r="S53" s="307"/>
      <c r="T53" s="307"/>
      <c r="U53" s="307"/>
      <c r="V53" s="307"/>
      <c r="W53" s="307"/>
      <c r="X53" s="307"/>
      <c r="Y53" s="307"/>
      <c r="Z53" s="307"/>
      <c r="AA53" s="307"/>
      <c r="AK53" s="786">
        <f t="shared" si="9"/>
        <v>36130</v>
      </c>
      <c r="AL53" s="787">
        <f>IF(ISBLANK(HLOOKUP($AL$43,Mann_data,11,FALSE)),#N/A,HLOOKUP($AL$43,Mann_data,11,FALSE))</f>
        <v>19</v>
      </c>
      <c r="AM53" s="309"/>
      <c r="AN53" s="791">
        <f t="shared" si="12"/>
        <v>35957</v>
      </c>
      <c r="AO53" s="291">
        <f t="shared" si="13"/>
        <v>210</v>
      </c>
      <c r="AP53" s="291">
        <f t="shared" si="11"/>
        <v>3.6</v>
      </c>
      <c r="AQ53" s="291" t="e">
        <f t="shared" si="11"/>
        <v>#N/A</v>
      </c>
      <c r="AR53" s="291">
        <f t="shared" si="11"/>
        <v>25</v>
      </c>
      <c r="AS53" s="291">
        <f t="shared" si="11"/>
        <v>1</v>
      </c>
      <c r="AT53" s="781" t="e">
        <f t="shared" si="11"/>
        <v>#N/A</v>
      </c>
    </row>
    <row r="54" spans="1:46" s="308" customFormat="1" ht="14.25" customHeight="1">
      <c r="A54" s="358"/>
      <c r="B54" s="370"/>
      <c r="C54" s="370"/>
      <c r="D54" s="370"/>
      <c r="E54" s="378"/>
      <c r="F54" s="378"/>
      <c r="G54" s="378"/>
      <c r="H54" s="378"/>
      <c r="I54" s="378"/>
      <c r="J54" s="358"/>
      <c r="K54" s="307"/>
      <c r="L54" s="307"/>
      <c r="M54" s="307"/>
      <c r="N54" s="307"/>
      <c r="O54" s="307"/>
      <c r="P54" s="307"/>
      <c r="Q54" s="307"/>
      <c r="R54" s="307"/>
      <c r="S54" s="307"/>
      <c r="T54" s="307"/>
      <c r="U54" s="307"/>
      <c r="V54" s="307"/>
      <c r="W54" s="307"/>
      <c r="X54" s="307"/>
      <c r="Y54" s="307"/>
      <c r="Z54" s="307"/>
      <c r="AA54" s="307"/>
      <c r="AK54" s="786">
        <f t="shared" si="9"/>
        <v>36225</v>
      </c>
      <c r="AL54" s="787" t="e">
        <f>IF(ISBLANK(HLOOKUP($AL$43,Mann_data,12,FALSE)),#N/A,HLOOKUP($AL$43,Mann_data,12,FALSE))</f>
        <v>#N/A</v>
      </c>
      <c r="AM54" s="309"/>
      <c r="AN54" s="791">
        <f t="shared" si="12"/>
        <v>36052</v>
      </c>
      <c r="AO54" s="291">
        <f t="shared" si="13"/>
        <v>44</v>
      </c>
      <c r="AP54" s="291">
        <f t="shared" si="11"/>
        <v>20</v>
      </c>
      <c r="AQ54" s="291">
        <f t="shared" si="11"/>
        <v>18</v>
      </c>
      <c r="AR54" s="291">
        <f t="shared" si="11"/>
        <v>890</v>
      </c>
      <c r="AS54" s="291">
        <f t="shared" si="11"/>
        <v>75</v>
      </c>
      <c r="AT54" s="781" t="e">
        <f t="shared" si="11"/>
        <v>#N/A</v>
      </c>
    </row>
    <row r="55" spans="1:46" s="308" customFormat="1" ht="14.25" customHeight="1">
      <c r="A55" s="358"/>
      <c r="B55" s="370"/>
      <c r="C55" s="370"/>
      <c r="D55" s="370"/>
      <c r="E55" s="378"/>
      <c r="F55" s="378"/>
      <c r="G55" s="378"/>
      <c r="H55" s="378"/>
      <c r="I55" s="378"/>
      <c r="J55" s="358"/>
      <c r="K55" s="307"/>
      <c r="L55" s="307"/>
      <c r="M55" s="307"/>
      <c r="N55" s="307"/>
      <c r="O55" s="307"/>
      <c r="P55" s="307"/>
      <c r="Q55" s="307"/>
      <c r="R55" s="307"/>
      <c r="S55" s="307"/>
      <c r="T55" s="307"/>
      <c r="U55" s="307"/>
      <c r="V55" s="307"/>
      <c r="W55" s="307"/>
      <c r="X55" s="307"/>
      <c r="Y55" s="307"/>
      <c r="Z55" s="307"/>
      <c r="AA55" s="307"/>
      <c r="AK55" s="786">
        <f t="shared" si="9"/>
        <v>36317</v>
      </c>
      <c r="AL55" s="787" t="e">
        <f>IF(ISBLANK(HLOOKUP($AL$43,Mann_data,13,FALSE)),#N/A,HLOOKUP($AL$43,Mann_data,13,FALSE))</f>
        <v>#N/A</v>
      </c>
      <c r="AM55" s="309"/>
      <c r="AN55" s="791">
        <f t="shared" si="12"/>
        <v>36130</v>
      </c>
      <c r="AO55" s="291" t="e">
        <f t="shared" si="13"/>
        <v>#N/A</v>
      </c>
      <c r="AP55" s="291">
        <f t="shared" si="11"/>
        <v>21</v>
      </c>
      <c r="AQ55" s="291">
        <f t="shared" si="11"/>
        <v>17</v>
      </c>
      <c r="AR55" s="291">
        <f t="shared" si="11"/>
        <v>450</v>
      </c>
      <c r="AS55" s="291">
        <f t="shared" si="11"/>
        <v>15</v>
      </c>
      <c r="AT55" s="781" t="e">
        <f t="shared" si="11"/>
        <v>#N/A</v>
      </c>
    </row>
    <row r="56" spans="1:46" s="308" customFormat="1" ht="14.25" customHeight="1">
      <c r="A56" s="358"/>
      <c r="B56" s="370"/>
      <c r="C56" s="370"/>
      <c r="D56" s="370"/>
      <c r="E56" s="378"/>
      <c r="F56" s="378"/>
      <c r="G56" s="378"/>
      <c r="H56" s="378"/>
      <c r="I56" s="378"/>
      <c r="J56" s="358"/>
      <c r="K56" s="307"/>
      <c r="L56" s="307"/>
      <c r="M56" s="307"/>
      <c r="N56" s="307"/>
      <c r="O56" s="307"/>
      <c r="P56" s="307"/>
      <c r="Q56" s="307"/>
      <c r="R56" s="307"/>
      <c r="S56" s="307"/>
      <c r="T56" s="307"/>
      <c r="U56" s="307"/>
      <c r="V56" s="307"/>
      <c r="W56" s="307"/>
      <c r="X56" s="307"/>
      <c r="Y56" s="307"/>
      <c r="Z56" s="307"/>
      <c r="AA56" s="307"/>
      <c r="AK56" s="786">
        <f t="shared" si="9"/>
        <v>36430</v>
      </c>
      <c r="AL56" s="787" t="e">
        <f>IF(ISBLANK(HLOOKUP($AL$43,Mann_data,14,FALSE)),#N/A,HLOOKUP($AL$43,Mann_data,14,FALSE))</f>
        <v>#N/A</v>
      </c>
      <c r="AM56" s="309"/>
      <c r="AN56" s="791">
        <f t="shared" si="12"/>
        <v>36225</v>
      </c>
      <c r="AO56" s="291">
        <f t="shared" si="13"/>
        <v>94</v>
      </c>
      <c r="AP56" s="291">
        <f t="shared" si="11"/>
        <v>19</v>
      </c>
      <c r="AQ56" s="291">
        <f t="shared" si="11"/>
        <v>22</v>
      </c>
      <c r="AR56" s="291">
        <f t="shared" si="11"/>
        <v>480</v>
      </c>
      <c r="AS56" s="291">
        <f t="shared" si="11"/>
        <v>6.7</v>
      </c>
      <c r="AT56" s="781" t="e">
        <f t="shared" si="11"/>
        <v>#N/A</v>
      </c>
    </row>
    <row r="57" spans="1:46" s="308" customFormat="1" ht="14.25" customHeight="1">
      <c r="A57" s="358"/>
      <c r="B57" s="370"/>
      <c r="C57" s="370"/>
      <c r="D57" s="370"/>
      <c r="E57" s="378"/>
      <c r="F57" s="378"/>
      <c r="G57" s="378"/>
      <c r="H57" s="378"/>
      <c r="I57" s="378"/>
      <c r="J57" s="358"/>
      <c r="K57" s="307"/>
      <c r="L57" s="307"/>
      <c r="M57" s="307"/>
      <c r="N57" s="307"/>
      <c r="O57" s="307"/>
      <c r="P57" s="307"/>
      <c r="Q57" s="307"/>
      <c r="R57" s="307"/>
      <c r="S57" s="307"/>
      <c r="T57" s="307"/>
      <c r="U57" s="307"/>
      <c r="V57" s="307"/>
      <c r="W57" s="307"/>
      <c r="X57" s="307"/>
      <c r="Y57" s="307"/>
      <c r="Z57" s="307"/>
      <c r="AA57" s="307"/>
      <c r="AK57" s="786">
        <f t="shared" si="9"/>
        <v>36510</v>
      </c>
      <c r="AL57" s="787" t="e">
        <f>IF(ISBLANK(HLOOKUP($AL$43,Mann_data,15,FALSE)),#N/A,HLOOKUP($AL$43,Mann_data,15,FALSE))</f>
        <v>#N/A</v>
      </c>
      <c r="AM57" s="309"/>
      <c r="AN57" s="791">
        <f t="shared" si="12"/>
        <v>36317</v>
      </c>
      <c r="AO57" s="291">
        <f t="shared" si="13"/>
        <v>32</v>
      </c>
      <c r="AP57" s="291" t="e">
        <f t="shared" si="11"/>
        <v>#N/A</v>
      </c>
      <c r="AQ57" s="291">
        <f t="shared" si="11"/>
        <v>12</v>
      </c>
      <c r="AR57" s="291" t="e">
        <f t="shared" si="11"/>
        <v>#N/A</v>
      </c>
      <c r="AS57" s="291" t="e">
        <f t="shared" si="11"/>
        <v>#N/A</v>
      </c>
      <c r="AT57" s="781" t="e">
        <f t="shared" si="11"/>
        <v>#N/A</v>
      </c>
    </row>
    <row r="58" spans="1:46" s="308" customFormat="1" ht="14.25" customHeight="1">
      <c r="A58" s="358"/>
      <c r="B58" s="370"/>
      <c r="C58" s="370"/>
      <c r="D58" s="370"/>
      <c r="E58" s="378"/>
      <c r="F58" s="378"/>
      <c r="G58" s="378"/>
      <c r="H58" s="378"/>
      <c r="I58" s="378"/>
      <c r="J58" s="358"/>
      <c r="K58" s="307"/>
      <c r="L58" s="307"/>
      <c r="M58" s="307"/>
      <c r="N58" s="307"/>
      <c r="O58" s="307"/>
      <c r="P58" s="307"/>
      <c r="Q58" s="307"/>
      <c r="R58" s="307"/>
      <c r="S58" s="307"/>
      <c r="T58" s="307"/>
      <c r="U58" s="307"/>
      <c r="V58" s="307"/>
      <c r="W58" s="307"/>
      <c r="X58" s="307"/>
      <c r="Y58" s="307"/>
      <c r="Z58" s="307"/>
      <c r="AA58" s="307"/>
      <c r="AK58" s="786">
        <f t="shared" si="9"/>
        <v>36600</v>
      </c>
      <c r="AL58" s="787" t="e">
        <f>IF(ISBLANK(HLOOKUP($AL$43,Mann_data,16,FALSE)),#N/A,HLOOKUP($AL$43,Mann_data,16,FALSE))</f>
        <v>#N/A</v>
      </c>
      <c r="AM58" s="309"/>
      <c r="AN58" s="791">
        <f t="shared" si="12"/>
        <v>36430</v>
      </c>
      <c r="AO58" s="291">
        <f t="shared" si="13"/>
        <v>21</v>
      </c>
      <c r="AP58" s="291" t="e">
        <f t="shared" si="11"/>
        <v>#N/A</v>
      </c>
      <c r="AQ58" s="291">
        <f t="shared" si="11"/>
        <v>34</v>
      </c>
      <c r="AR58" s="291" t="e">
        <f t="shared" si="11"/>
        <v>#N/A</v>
      </c>
      <c r="AS58" s="291" t="e">
        <f t="shared" si="11"/>
        <v>#N/A</v>
      </c>
      <c r="AT58" s="781" t="e">
        <f t="shared" si="11"/>
        <v>#N/A</v>
      </c>
    </row>
    <row r="59" spans="1:46" s="308" customFormat="1" ht="14.25" customHeight="1">
      <c r="A59" s="358"/>
      <c r="B59" s="370"/>
      <c r="C59" s="370"/>
      <c r="D59" s="370"/>
      <c r="E59" s="378"/>
      <c r="F59" s="378"/>
      <c r="G59" s="378"/>
      <c r="H59" s="378"/>
      <c r="I59" s="378"/>
      <c r="J59" s="358"/>
      <c r="K59" s="307"/>
      <c r="L59" s="307"/>
      <c r="M59" s="307"/>
      <c r="N59" s="307"/>
      <c r="O59" s="307"/>
      <c r="P59" s="307"/>
      <c r="Q59" s="307"/>
      <c r="R59" s="307"/>
      <c r="S59" s="307"/>
      <c r="T59" s="307"/>
      <c r="U59" s="307"/>
      <c r="V59" s="307"/>
      <c r="W59" s="307"/>
      <c r="X59" s="307"/>
      <c r="Y59" s="307"/>
      <c r="Z59" s="307"/>
      <c r="AA59" s="307"/>
      <c r="AK59" s="786">
        <f t="shared" si="9"/>
        <v>36698</v>
      </c>
      <c r="AL59" s="787" t="e">
        <f>IF(ISBLANK(HLOOKUP($AL$43,Mann_data,17,FALSE)),#N/A,HLOOKUP($AL$43,Mann_data,17,FALSE))</f>
        <v>#N/A</v>
      </c>
      <c r="AM59" s="309"/>
      <c r="AN59" s="791">
        <f t="shared" si="12"/>
        <v>36510</v>
      </c>
      <c r="AO59" s="291">
        <f t="shared" si="13"/>
        <v>21</v>
      </c>
      <c r="AP59" s="291" t="e">
        <f t="shared" si="11"/>
        <v>#N/A</v>
      </c>
      <c r="AQ59" s="291" t="e">
        <f t="shared" si="11"/>
        <v>#N/A</v>
      </c>
      <c r="AR59" s="291" t="e">
        <f t="shared" si="11"/>
        <v>#N/A</v>
      </c>
      <c r="AS59" s="291" t="e">
        <f t="shared" si="11"/>
        <v>#N/A</v>
      </c>
      <c r="AT59" s="781" t="e">
        <f t="shared" si="11"/>
        <v>#N/A</v>
      </c>
    </row>
    <row r="60" spans="1:46" s="308" customFormat="1" ht="14.25" customHeight="1">
      <c r="A60" s="358"/>
      <c r="B60" s="370"/>
      <c r="C60" s="370"/>
      <c r="D60" s="370"/>
      <c r="E60" s="378"/>
      <c r="F60" s="378"/>
      <c r="G60" s="378"/>
      <c r="H60" s="378"/>
      <c r="I60" s="378"/>
      <c r="J60" s="358"/>
      <c r="K60" s="307"/>
      <c r="L60" s="307"/>
      <c r="M60" s="307"/>
      <c r="N60" s="307"/>
      <c r="O60" s="307"/>
      <c r="P60" s="307"/>
      <c r="Q60" s="307"/>
      <c r="R60" s="307"/>
      <c r="S60" s="307"/>
      <c r="T60" s="307"/>
      <c r="U60" s="307"/>
      <c r="V60" s="307"/>
      <c r="W60" s="307"/>
      <c r="X60" s="307"/>
      <c r="Y60" s="307"/>
      <c r="Z60" s="307"/>
      <c r="AA60" s="307"/>
      <c r="AK60" s="786" t="s">
        <v>334</v>
      </c>
      <c r="AL60" s="787" t="str">
        <f>IF(ISBLANK(HLOOKUP($AL$43,D14:I35,20,FALSE)),#N/A,HLOOKUP($AL$43,D14:I35,20,FALSE))</f>
        <v>Toluene</v>
      </c>
      <c r="AM60" s="309"/>
      <c r="AN60" s="791">
        <f t="shared" si="12"/>
        <v>36600</v>
      </c>
      <c r="AO60" s="291">
        <f t="shared" si="13"/>
        <v>37</v>
      </c>
      <c r="AP60" s="291" t="e">
        <f t="shared" si="11"/>
        <v>#N/A</v>
      </c>
      <c r="AQ60" s="291" t="e">
        <f t="shared" si="11"/>
        <v>#N/A</v>
      </c>
      <c r="AR60" s="291" t="e">
        <f t="shared" si="11"/>
        <v>#N/A</v>
      </c>
      <c r="AS60" s="291" t="e">
        <f t="shared" si="11"/>
        <v>#N/A</v>
      </c>
      <c r="AT60" s="781" t="e">
        <f t="shared" si="11"/>
        <v>#N/A</v>
      </c>
    </row>
    <row r="61" spans="1:46" s="308" customFormat="1" ht="14.25" customHeight="1" thickBot="1">
      <c r="A61" s="358"/>
      <c r="B61" s="370"/>
      <c r="C61" s="370"/>
      <c r="D61" s="370"/>
      <c r="E61" s="378"/>
      <c r="F61" s="378"/>
      <c r="G61" s="378"/>
      <c r="H61" s="378"/>
      <c r="I61" s="378"/>
      <c r="J61" s="358"/>
      <c r="K61" s="307"/>
      <c r="L61" s="307"/>
      <c r="M61" s="307"/>
      <c r="N61" s="307"/>
      <c r="O61" s="307"/>
      <c r="P61" s="307"/>
      <c r="Q61" s="307"/>
      <c r="R61" s="307"/>
      <c r="S61" s="307"/>
      <c r="T61" s="307"/>
      <c r="U61" s="307"/>
      <c r="V61" s="307"/>
      <c r="W61" s="307"/>
      <c r="X61" s="307"/>
      <c r="Y61" s="307"/>
      <c r="Z61" s="307"/>
      <c r="AA61" s="307"/>
      <c r="AK61" s="788"/>
      <c r="AL61" s="789" t="str">
        <f>IF(ISBLANK(HLOOKUP($AL$43,D14:I35,22,FALSE)),#N/A,HLOOKUP($AL$43,D14:I35,22,FALSE))</f>
        <v>Stable</v>
      </c>
      <c r="AM61" s="309"/>
      <c r="AN61" s="792">
        <f t="shared" si="12"/>
        <v>36698</v>
      </c>
      <c r="AO61" s="782">
        <f t="shared" si="13"/>
        <v>22</v>
      </c>
      <c r="AP61" s="782" t="e">
        <f t="shared" si="11"/>
        <v>#N/A</v>
      </c>
      <c r="AQ61" s="782" t="e">
        <f t="shared" si="11"/>
        <v>#N/A</v>
      </c>
      <c r="AR61" s="782" t="e">
        <f t="shared" si="11"/>
        <v>#N/A</v>
      </c>
      <c r="AS61" s="782" t="e">
        <f t="shared" si="11"/>
        <v>#N/A</v>
      </c>
      <c r="AT61" s="783" t="e">
        <f t="shared" si="11"/>
        <v>#N/A</v>
      </c>
    </row>
    <row r="62" spans="1:27" s="308" customFormat="1" ht="14.25" customHeight="1">
      <c r="A62" s="358"/>
      <c r="B62" s="370"/>
      <c r="C62" s="370"/>
      <c r="D62" s="370"/>
      <c r="E62" s="378"/>
      <c r="F62" s="378"/>
      <c r="G62" s="378"/>
      <c r="H62" s="378"/>
      <c r="I62" s="378"/>
      <c r="J62" s="358"/>
      <c r="K62" s="307"/>
      <c r="L62" s="307"/>
      <c r="M62" s="307"/>
      <c r="N62" s="307"/>
      <c r="O62" s="307"/>
      <c r="P62" s="307"/>
      <c r="Q62" s="307"/>
      <c r="R62" s="307"/>
      <c r="S62" s="307"/>
      <c r="T62" s="307"/>
      <c r="U62" s="307"/>
      <c r="V62" s="307"/>
      <c r="W62" s="307"/>
      <c r="X62" s="307"/>
      <c r="Y62" s="307"/>
      <c r="Z62" s="307"/>
      <c r="AA62" s="307"/>
    </row>
    <row r="63" spans="1:27" s="308" customFormat="1" ht="14.25" customHeight="1">
      <c r="A63" s="358"/>
      <c r="B63" s="370"/>
      <c r="C63" s="370"/>
      <c r="D63" s="370"/>
      <c r="E63" s="378"/>
      <c r="F63" s="378"/>
      <c r="G63" s="378"/>
      <c r="H63" s="378"/>
      <c r="I63" s="378"/>
      <c r="J63" s="358"/>
      <c r="K63" s="307"/>
      <c r="L63" s="307"/>
      <c r="M63" s="307"/>
      <c r="N63" s="307"/>
      <c r="O63" s="307"/>
      <c r="P63" s="307"/>
      <c r="Q63" s="307"/>
      <c r="R63" s="307"/>
      <c r="S63" s="307"/>
      <c r="T63" s="307"/>
      <c r="U63" s="307"/>
      <c r="V63" s="307"/>
      <c r="W63" s="307"/>
      <c r="X63" s="307"/>
      <c r="Y63" s="307"/>
      <c r="Z63" s="307"/>
      <c r="AA63" s="307"/>
    </row>
    <row r="64" spans="1:27" s="308" customFormat="1" ht="9" customHeight="1">
      <c r="A64" s="358"/>
      <c r="B64" s="370"/>
      <c r="C64" s="370"/>
      <c r="D64" s="370"/>
      <c r="E64" s="378"/>
      <c r="F64" s="378"/>
      <c r="G64" s="378"/>
      <c r="H64" s="378"/>
      <c r="I64" s="378"/>
      <c r="J64" s="358"/>
      <c r="K64" s="307"/>
      <c r="L64" s="307"/>
      <c r="M64" s="307"/>
      <c r="N64" s="307"/>
      <c r="O64" s="307"/>
      <c r="P64" s="307"/>
      <c r="Q64" s="307"/>
      <c r="R64" s="307"/>
      <c r="S64" s="307"/>
      <c r="T64" s="307"/>
      <c r="U64" s="307"/>
      <c r="V64" s="307"/>
      <c r="W64" s="307"/>
      <c r="X64" s="307"/>
      <c r="Y64" s="307"/>
      <c r="Z64" s="307"/>
      <c r="AA64" s="307"/>
    </row>
    <row r="65" spans="1:27" s="308" customFormat="1" ht="6.75" customHeight="1">
      <c r="A65" s="358"/>
      <c r="B65" s="370"/>
      <c r="C65" s="370"/>
      <c r="D65" s="370"/>
      <c r="E65" s="378"/>
      <c r="F65" s="378"/>
      <c r="G65" s="378"/>
      <c r="H65" s="378"/>
      <c r="I65" s="378"/>
      <c r="J65" s="358"/>
      <c r="K65" s="307"/>
      <c r="L65" s="307"/>
      <c r="M65" s="307"/>
      <c r="N65" s="307"/>
      <c r="O65" s="307"/>
      <c r="P65" s="307"/>
      <c r="Q65" s="307"/>
      <c r="R65" s="307"/>
      <c r="S65" s="307"/>
      <c r="T65" s="307"/>
      <c r="U65" s="307"/>
      <c r="V65" s="307"/>
      <c r="W65" s="307"/>
      <c r="X65" s="307"/>
      <c r="Y65" s="307"/>
      <c r="Z65" s="307"/>
      <c r="AA65" s="307"/>
    </row>
    <row r="66" spans="1:27" s="308" customFormat="1" ht="8.25" customHeight="1">
      <c r="A66" s="358"/>
      <c r="B66" s="370"/>
      <c r="C66" s="370"/>
      <c r="D66" s="370"/>
      <c r="E66" s="378"/>
      <c r="F66" s="378"/>
      <c r="G66" s="378"/>
      <c r="H66" s="378"/>
      <c r="I66" s="378"/>
      <c r="J66" s="358"/>
      <c r="K66" s="307"/>
      <c r="L66" s="307"/>
      <c r="M66" s="307"/>
      <c r="N66" s="307"/>
      <c r="O66" s="307"/>
      <c r="P66" s="307"/>
      <c r="Q66" s="307"/>
      <c r="R66" s="307"/>
      <c r="S66" s="307"/>
      <c r="T66" s="307"/>
      <c r="U66" s="307"/>
      <c r="V66" s="307"/>
      <c r="W66" s="307"/>
      <c r="X66" s="307"/>
      <c r="Y66" s="307"/>
      <c r="Z66" s="307"/>
      <c r="AA66" s="307"/>
    </row>
    <row r="67" spans="1:27" s="308" customFormat="1" ht="6" customHeight="1">
      <c r="A67" s="358"/>
      <c r="B67" s="370"/>
      <c r="C67" s="370"/>
      <c r="D67" s="370"/>
      <c r="E67" s="378"/>
      <c r="F67" s="378"/>
      <c r="G67" s="378"/>
      <c r="H67" s="378"/>
      <c r="I67" s="378"/>
      <c r="J67" s="358"/>
      <c r="K67" s="307"/>
      <c r="L67" s="307"/>
      <c r="M67" s="307"/>
      <c r="N67" s="307"/>
      <c r="O67" s="307"/>
      <c r="P67" s="307"/>
      <c r="Q67" s="307"/>
      <c r="R67" s="307"/>
      <c r="S67" s="307"/>
      <c r="T67" s="307"/>
      <c r="U67" s="307"/>
      <c r="V67" s="307"/>
      <c r="W67" s="307"/>
      <c r="X67" s="307"/>
      <c r="Y67" s="307"/>
      <c r="Z67" s="307"/>
      <c r="AA67" s="307"/>
    </row>
    <row r="68" spans="1:27" s="308" customFormat="1" ht="14.25" customHeight="1">
      <c r="A68" s="761"/>
      <c r="B68" s="761"/>
      <c r="C68" s="793"/>
      <c r="D68" s="762"/>
      <c r="E68" s="762"/>
      <c r="F68" s="762"/>
      <c r="G68" s="762"/>
      <c r="H68" s="762"/>
      <c r="I68" s="762"/>
      <c r="J68" s="761"/>
      <c r="K68" s="307"/>
      <c r="L68" s="307"/>
      <c r="M68" s="307"/>
      <c r="N68" s="307"/>
      <c r="O68" s="307"/>
      <c r="P68" s="307"/>
      <c r="Q68" s="307"/>
      <c r="R68" s="307"/>
      <c r="S68" s="307"/>
      <c r="T68" s="307"/>
      <c r="U68" s="307"/>
      <c r="V68" s="307"/>
      <c r="W68" s="307"/>
      <c r="X68" s="307"/>
      <c r="Y68" s="307"/>
      <c r="Z68" s="307"/>
      <c r="AA68" s="307"/>
    </row>
    <row r="69" spans="1:46" s="763" customFormat="1" ht="14.25" customHeight="1">
      <c r="A69" s="761"/>
      <c r="B69" s="761"/>
      <c r="C69" s="762"/>
      <c r="D69" s="762"/>
      <c r="E69" s="762"/>
      <c r="F69" s="762"/>
      <c r="G69" s="762"/>
      <c r="H69" s="762"/>
      <c r="I69" s="762"/>
      <c r="J69" s="761"/>
      <c r="K69" s="761"/>
      <c r="L69" s="761"/>
      <c r="M69" s="761"/>
      <c r="N69" s="761"/>
      <c r="O69" s="761"/>
      <c r="P69" s="761"/>
      <c r="Q69" s="761"/>
      <c r="R69" s="761"/>
      <c r="S69" s="761"/>
      <c r="T69" s="761"/>
      <c r="U69" s="761"/>
      <c r="V69" s="761"/>
      <c r="W69" s="761"/>
      <c r="X69" s="761"/>
      <c r="Y69" s="761"/>
      <c r="Z69" s="761"/>
      <c r="AA69" s="761"/>
      <c r="AN69" s="308"/>
      <c r="AO69" s="308"/>
      <c r="AP69" s="308"/>
      <c r="AQ69" s="308"/>
      <c r="AR69" s="308"/>
      <c r="AS69" s="308"/>
      <c r="AT69" s="308"/>
    </row>
    <row r="70" spans="1:27" s="308" customFormat="1" ht="12.75" hidden="1">
      <c r="A70" s="307"/>
      <c r="B70" s="307"/>
      <c r="C70" s="307"/>
      <c r="D70" s="307"/>
      <c r="E70" s="307"/>
      <c r="F70" s="307"/>
      <c r="G70" s="307"/>
      <c r="H70" s="307"/>
      <c r="I70" s="307"/>
      <c r="J70" s="307"/>
      <c r="K70" s="307"/>
      <c r="L70" s="307"/>
      <c r="M70" s="307"/>
      <c r="N70" s="307"/>
      <c r="O70" s="307"/>
      <c r="P70" s="307"/>
      <c r="Q70" s="307"/>
      <c r="R70" s="307"/>
      <c r="S70" s="307"/>
      <c r="T70" s="307"/>
      <c r="U70" s="307"/>
      <c r="V70" s="307"/>
      <c r="W70" s="307"/>
      <c r="X70" s="307"/>
      <c r="Y70" s="307"/>
      <c r="Z70" s="307"/>
      <c r="AA70" s="307"/>
    </row>
    <row r="71" spans="1:46" s="308" customFormat="1" ht="12.75" hidden="1">
      <c r="A71" s="307"/>
      <c r="B71" s="307"/>
      <c r="C71" s="318" t="str">
        <f>D14</f>
        <v>Benzene</v>
      </c>
      <c r="D71" s="309">
        <v>15</v>
      </c>
      <c r="E71" s="309">
        <v>16</v>
      </c>
      <c r="F71" s="307">
        <v>17</v>
      </c>
      <c r="G71" s="307">
        <v>18</v>
      </c>
      <c r="H71" s="309">
        <v>19</v>
      </c>
      <c r="I71" s="309">
        <v>20</v>
      </c>
      <c r="J71" s="307">
        <v>21</v>
      </c>
      <c r="K71" s="309">
        <v>22</v>
      </c>
      <c r="L71" s="307">
        <v>23</v>
      </c>
      <c r="M71" s="307">
        <v>24</v>
      </c>
      <c r="N71" s="307">
        <v>25</v>
      </c>
      <c r="O71" s="307">
        <v>26</v>
      </c>
      <c r="P71" s="307">
        <v>27</v>
      </c>
      <c r="Q71" s="307">
        <v>28</v>
      </c>
      <c r="R71" s="307">
        <v>29</v>
      </c>
      <c r="S71" s="321"/>
      <c r="AN71" s="763"/>
      <c r="AO71" s="763"/>
      <c r="AP71" s="763"/>
      <c r="AQ71" s="763"/>
      <c r="AR71" s="763"/>
      <c r="AS71" s="763"/>
      <c r="AT71" s="763"/>
    </row>
    <row r="72" spans="1:19" s="308" customFormat="1" ht="12.75" hidden="1">
      <c r="A72" s="307"/>
      <c r="B72" s="307"/>
      <c r="C72" s="322" t="s">
        <v>35</v>
      </c>
      <c r="D72" s="323" t="s">
        <v>36</v>
      </c>
      <c r="E72" s="324" t="s">
        <v>37</v>
      </c>
      <c r="F72" s="324" t="s">
        <v>38</v>
      </c>
      <c r="G72" s="324" t="s">
        <v>39</v>
      </c>
      <c r="H72" s="324" t="s">
        <v>40</v>
      </c>
      <c r="I72" s="324" t="s">
        <v>41</v>
      </c>
      <c r="J72" s="324" t="s">
        <v>42</v>
      </c>
      <c r="K72" s="324" t="s">
        <v>43</v>
      </c>
      <c r="L72" s="324" t="s">
        <v>44</v>
      </c>
      <c r="M72" s="324" t="s">
        <v>176</v>
      </c>
      <c r="N72" s="324" t="s">
        <v>177</v>
      </c>
      <c r="O72" s="324" t="s">
        <v>178</v>
      </c>
      <c r="P72" s="324" t="s">
        <v>179</v>
      </c>
      <c r="Q72" s="324" t="s">
        <v>180</v>
      </c>
      <c r="R72" s="324" t="s">
        <v>181</v>
      </c>
      <c r="S72" s="325"/>
    </row>
    <row r="73" spans="1:19" s="308" customFormat="1" ht="12.75" hidden="1">
      <c r="A73" s="307"/>
      <c r="B73" s="307"/>
      <c r="C73" s="326">
        <f>IF(ISBLANK(D15),"",D15)</f>
        <v>1900</v>
      </c>
      <c r="D73" s="327">
        <f>IF(ISBLANK(D16),"",D16)</f>
        <v>1300</v>
      </c>
      <c r="E73" s="328">
        <f>IF(ISBLANK(D17),"",D17)</f>
        <v>1500</v>
      </c>
      <c r="F73" s="328">
        <f>IF(ISBLANK(D18),"",D18)</f>
      </c>
      <c r="G73" s="328">
        <f>IF(ISBLANK(D19),"",D19)</f>
        <v>350</v>
      </c>
      <c r="H73" s="328">
        <f>IF(ISBLANK(D20),"",D20)</f>
        <v>270</v>
      </c>
      <c r="I73" s="328">
        <f>IF(ISBLANK(D21),"",D21)</f>
        <v>210</v>
      </c>
      <c r="J73" s="328">
        <f>IF(ISBLANK(D22),"",D22)</f>
        <v>44</v>
      </c>
      <c r="K73" s="328">
        <f>IF(ISBLANK(D23),"",D23)</f>
      </c>
      <c r="L73" s="328">
        <f>IF(ISBLANK(D24),"",D24)</f>
        <v>94</v>
      </c>
      <c r="M73" s="328">
        <f>IF(ISBLANK($D$25),"",$D$25)</f>
        <v>32</v>
      </c>
      <c r="N73" s="328">
        <f>IF(ISBLANK($D$26),"",$D$26)</f>
        <v>21</v>
      </c>
      <c r="O73" s="328">
        <f>IF(ISBLANK($D$27),"",$D$27)</f>
        <v>21</v>
      </c>
      <c r="P73" s="328">
        <f>IF(ISBLANK($D$28),"",$D$28)</f>
        <v>37</v>
      </c>
      <c r="Q73" s="328">
        <f>IF(ISBLANK($D$29),"",$D$29)</f>
        <v>22</v>
      </c>
      <c r="R73" s="328">
        <f>IF(ISBLANK($D$30),"",$D$30)</f>
      </c>
      <c r="S73" s="329" t="s">
        <v>46</v>
      </c>
    </row>
    <row r="74" spans="1:19" s="308" customFormat="1" ht="12.75" hidden="1">
      <c r="A74" s="307"/>
      <c r="B74" s="307"/>
      <c r="C74" s="319"/>
      <c r="D74" s="321">
        <f>IF(ISBLANK(D15),"",IF(ISBLANK(D16),"",IF(D16&gt;D15,1,IF(D16&lt;D15,-1,0))))</f>
        <v>-1</v>
      </c>
      <c r="E74" s="330">
        <f>IF(ISBLANK(D15),"",IF(ISBLANK(D17),"",IF(D17&gt;D15,1,IF(D17&lt;D15,-1,0))))</f>
        <v>-1</v>
      </c>
      <c r="F74" s="330">
        <f>IF(ISBLANK(D15),"",IF(ISBLANK(D18),"",IF(D18&gt;D15,1,IF(D18&lt;D15,-1,0))))</f>
      </c>
      <c r="G74" s="330">
        <f>IF(ISBLANK(D15),"",IF(ISBLANK(D19),"",IF(D19&gt;D15,1,IF(D19&lt;D15,-1,0))))</f>
        <v>-1</v>
      </c>
      <c r="H74" s="330">
        <f>IF(ISBLANK(D15),"",IF(ISBLANK(D20),"",IF(D20&gt;D15,1,IF(D20&lt;D15,-1,0))))</f>
        <v>-1</v>
      </c>
      <c r="I74" s="330">
        <f>IF(ISBLANK(D15),"",IF(ISBLANK(D21),"",IF(D21&gt;D15,1,IF(D21&lt;D15,-1,0))))</f>
        <v>-1</v>
      </c>
      <c r="J74" s="330">
        <f>IF(ISBLANK(D15),"",IF(ISBLANK(D22),"",IF(D22&gt;D15,1,IF(D22&lt;D15,-1,0))))</f>
        <v>-1</v>
      </c>
      <c r="K74" s="330">
        <f>IF(ISBLANK(D15),"",IF(ISBLANK(D23),"",IF(D23&gt;D15,1,IF(D23&lt;D15,-1,0))))</f>
      </c>
      <c r="L74" s="330">
        <f>IF(ISBLANK($D$15),"",IF(ISBLANK($D$24),"",IF($D$24&gt;$D$15,1,IF($D$24&lt;$D$15,-1,0))))</f>
        <v>-1</v>
      </c>
      <c r="M74" s="330">
        <f>IF(ISBLANK($D15),"",IF(ISBLANK($D$25),"",IF($D$25&gt;$D15,1,IF($D$25&lt;$D15,-1,0))))</f>
        <v>-1</v>
      </c>
      <c r="N74" s="330">
        <f>IF(ISBLANK($D15),"",IF(ISBLANK($D$26),"",IF($D$26&gt;$D15,1,IF($D$26&lt;$D15,-1,0))))</f>
        <v>-1</v>
      </c>
      <c r="O74" s="330">
        <f>IF(ISBLANK($D15),"",IF(ISBLANK($D$27),"",IF($D$27&gt;$D15,1,IF($D$27&lt;$D15,-1,0))))</f>
        <v>-1</v>
      </c>
      <c r="P74" s="330">
        <f>IF(ISBLANK($D15),"",IF(ISBLANK($D$28),"",IF($D$28&gt;$D15,1,IF($D$28&lt;$D15,-1,0))))</f>
        <v>-1</v>
      </c>
      <c r="Q74" s="330">
        <f>IF(ISBLANK($D15),"",IF(ISBLANK($D$29),"",IF($D$29&gt;$D15,1,IF($D$29&lt;$D15,-1,0))))</f>
        <v>-1</v>
      </c>
      <c r="R74" s="330">
        <f>IF(ISBLANK($D15),"",IF(ISBLANK($D$30),"",IF($D$30&gt;$D15,1,IF($D$30&lt;$D15,-1,0))))</f>
      </c>
      <c r="S74" s="331">
        <f>SUM(D74:R74)</f>
        <v>-12</v>
      </c>
    </row>
    <row r="75" spans="1:19" s="308" customFormat="1" ht="12.75" hidden="1">
      <c r="A75" s="307"/>
      <c r="B75" s="307"/>
      <c r="C75" s="319"/>
      <c r="D75" s="307"/>
      <c r="E75" s="330">
        <f>IF(ISBLANK(D16),"",IF(ISBLANK(D17),"",IF(D17&gt;D16,1,IF(D17&lt;D16,-1,0))))</f>
        <v>1</v>
      </c>
      <c r="F75" s="330">
        <f>IF(ISBLANK(D16),"",IF(ISBLANK(D18),"",IF(D18&gt;D16,1,IF(D18&lt;D16,-1,0))))</f>
      </c>
      <c r="G75" s="330">
        <f>IF(ISBLANK(D16),"",IF(ISBLANK(D19),"",IF(D19&gt;D16,1,IF(D19&lt;D16,-1,0))))</f>
        <v>-1</v>
      </c>
      <c r="H75" s="330">
        <f>IF(ISBLANK(D16),"",IF(ISBLANK(D20),"",IF(D20&gt;D16,1,IF(D20&lt;D16,-1,0))))</f>
        <v>-1</v>
      </c>
      <c r="I75" s="330">
        <f>IF(ISBLANK(D16),"",IF(ISBLANK(D21),"",IF(D21&gt;D16,1,IF(D21&lt;D16,-1,0))))</f>
        <v>-1</v>
      </c>
      <c r="J75" s="330">
        <f>IF(ISBLANK(D16),"",IF(ISBLANK(D22),"",IF(D22&gt;D16,1,IF(D22&lt;D16,-1,0))))</f>
        <v>-1</v>
      </c>
      <c r="K75" s="330">
        <f>IF(ISBLANK(D16),"",IF(ISBLANK(D23),"",IF(D23&gt;D16,1,IF(D23&lt;D16,-1,0))))</f>
      </c>
      <c r="L75" s="330">
        <f>IF(ISBLANK(D16),"",IF(ISBLANK(D24),"",IF(D24&gt;D16,1,IF(D24&lt;D16,-1,0))))</f>
        <v>-1</v>
      </c>
      <c r="M75" s="330">
        <f aca="true" t="shared" si="14" ref="M75:M83">IF(ISBLANK($D16),"",IF(ISBLANK($D$25),"",IF($D$25&gt;$D16,1,IF($D$25&lt;$D16,-1,0))))</f>
        <v>-1</v>
      </c>
      <c r="N75" s="330">
        <f aca="true" t="shared" si="15" ref="N75:N84">IF(ISBLANK($D16),"",IF(ISBLANK($D$26),"",IF($D$26&gt;$D16,1,IF($D$26&lt;$D16,-1,0))))</f>
        <v>-1</v>
      </c>
      <c r="O75" s="330">
        <f aca="true" t="shared" si="16" ref="O75:O85">IF(ISBLANK($D16),"",IF(ISBLANK($D$27),"",IF($D$27&gt;$D16,1,IF($D$27&lt;$D16,-1,0))))</f>
        <v>-1</v>
      </c>
      <c r="P75" s="330">
        <f aca="true" t="shared" si="17" ref="P75:P86">IF(ISBLANK($D16),"",IF(ISBLANK($D$28),"",IF($D$28&gt;$D16,1,IF($D$28&lt;$D16,-1,0))))</f>
        <v>-1</v>
      </c>
      <c r="Q75" s="330">
        <f aca="true" t="shared" si="18" ref="Q75:Q87">IF(ISBLANK($D16),"",IF(ISBLANK($D$29),"",IF($D$29&gt;$D16,1,IF($D$29&lt;$D16,-1,0))))</f>
        <v>-1</v>
      </c>
      <c r="R75" s="330">
        <f aca="true" t="shared" si="19" ref="R75:R88">IF(ISBLANK($D16),"",IF(ISBLANK($D$30),"",IF($D$30&gt;$D16,1,IF($D$30&lt;$D16,-1,0))))</f>
      </c>
      <c r="S75" s="331">
        <f aca="true" t="shared" si="20" ref="S75:S88">SUM(D75:R75)</f>
        <v>-9</v>
      </c>
    </row>
    <row r="76" spans="1:19" s="308" customFormat="1" ht="12.75" hidden="1">
      <c r="A76" s="307"/>
      <c r="B76" s="307"/>
      <c r="C76" s="319"/>
      <c r="D76" s="307"/>
      <c r="E76" s="307"/>
      <c r="F76" s="330">
        <f>IF(ISBLANK(D17),"",IF(ISBLANK(D18),"",IF(D18&gt;D17,1,IF(D18&lt;D17,-1,0))))</f>
      </c>
      <c r="G76" s="330">
        <f>IF(ISBLANK(D17),"",IF(ISBLANK(D19),"",IF(D19&gt;D17,1,IF(D19&lt;D17,-1,0))))</f>
        <v>-1</v>
      </c>
      <c r="H76" s="330">
        <f>IF(ISBLANK(D17),"",IF(ISBLANK(D20),"",IF(D20&gt;D17,1,IF(D20&lt;D17,-1,0))))</f>
        <v>-1</v>
      </c>
      <c r="I76" s="330">
        <f>IF(ISBLANK(D17),"",IF(ISBLANK(D21),"",IF(D21&gt;D17,1,IF(D21&lt;D17,-1,0))))</f>
        <v>-1</v>
      </c>
      <c r="J76" s="330">
        <f>IF(ISBLANK(D17),"",IF(ISBLANK(D22),"",IF(D22&gt;D17,1,IF(D22&lt;D17,-1,0))))</f>
        <v>-1</v>
      </c>
      <c r="K76" s="330">
        <f>IF(ISBLANK(D17),"",IF(ISBLANK(D23),"",IF(D23&gt;D17,1,IF(D23&lt;D17,-1,0))))</f>
      </c>
      <c r="L76" s="330">
        <f>IF(ISBLANK(D17),"",IF(ISBLANK(D24),"",IF(D24&gt;D17,1,IF(D24&lt;D17,-1,0))))</f>
        <v>-1</v>
      </c>
      <c r="M76" s="330">
        <f t="shared" si="14"/>
        <v>-1</v>
      </c>
      <c r="N76" s="330">
        <f t="shared" si="15"/>
        <v>-1</v>
      </c>
      <c r="O76" s="330">
        <f t="shared" si="16"/>
        <v>-1</v>
      </c>
      <c r="P76" s="330">
        <f t="shared" si="17"/>
        <v>-1</v>
      </c>
      <c r="Q76" s="330">
        <f t="shared" si="18"/>
        <v>-1</v>
      </c>
      <c r="R76" s="330">
        <f t="shared" si="19"/>
      </c>
      <c r="S76" s="331">
        <f t="shared" si="20"/>
        <v>-10</v>
      </c>
    </row>
    <row r="77" spans="1:19" s="308" customFormat="1" ht="12.75" hidden="1">
      <c r="A77" s="307"/>
      <c r="B77" s="307"/>
      <c r="C77" s="319"/>
      <c r="D77" s="307"/>
      <c r="E77" s="307"/>
      <c r="F77" s="307"/>
      <c r="G77" s="330">
        <f>IF(ISBLANK(D18),"",IF(ISBLANK(D19),"",IF(D19&gt;D18,1,IF(D19&lt;D18,-1,0))))</f>
      </c>
      <c r="H77" s="330">
        <f>IF(ISBLANK(D18),"",IF(ISBLANK(D20),"",IF(D20&gt;D18,1,IF(D20&lt;D18,-1,0))))</f>
      </c>
      <c r="I77" s="330">
        <f>IF(ISBLANK(D18),"",IF(ISBLANK(D21),"",IF(D21&gt;D18,1,IF(D21&lt;D18,-1,0))))</f>
      </c>
      <c r="J77" s="330">
        <f>IF(ISBLANK(D18),"",IF(ISBLANK(D22),"",IF(D22&gt;D18,1,IF(D22&lt;D18,-1,0))))</f>
      </c>
      <c r="K77" s="330">
        <f>IF(ISBLANK(D18),"",IF(ISBLANK(D23),"",IF(D23&gt;D18,1,IF(D23&lt;D18,-1,0))))</f>
      </c>
      <c r="L77" s="330">
        <f>IF(ISBLANK(D18),"",IF(ISBLANK(D24),"",IF(D24&gt;D18,1,IF(D24&lt;D18,-1,0))))</f>
      </c>
      <c r="M77" s="330">
        <f t="shared" si="14"/>
      </c>
      <c r="N77" s="330">
        <f t="shared" si="15"/>
      </c>
      <c r="O77" s="330">
        <f t="shared" si="16"/>
      </c>
      <c r="P77" s="330">
        <f t="shared" si="17"/>
      </c>
      <c r="Q77" s="330">
        <f t="shared" si="18"/>
      </c>
      <c r="R77" s="330">
        <f t="shared" si="19"/>
      </c>
      <c r="S77" s="331">
        <f t="shared" si="20"/>
        <v>0</v>
      </c>
    </row>
    <row r="78" spans="1:19" s="308" customFormat="1" ht="12.75" hidden="1">
      <c r="A78" s="307"/>
      <c r="B78" s="307"/>
      <c r="C78" s="319"/>
      <c r="D78" s="307"/>
      <c r="E78" s="307"/>
      <c r="F78" s="307"/>
      <c r="G78" s="307"/>
      <c r="H78" s="330">
        <f>IF(ISBLANK(D19),"",IF(ISBLANK(D20),"",IF(D20&gt;D19,1,IF(D20&lt;D19,-1,0))))</f>
        <v>-1</v>
      </c>
      <c r="I78" s="330">
        <f>IF(ISBLANK(D19),"",IF(ISBLANK(D21),"",IF(D21&gt;D19,1,IF(D21&lt;D19,-1,0))))</f>
        <v>-1</v>
      </c>
      <c r="J78" s="330">
        <f>IF(ISBLANK(D19),"",IF(ISBLANK(D22),"",IF(D22&gt;D19,1,IF(D22&lt;D19,-1,0))))</f>
        <v>-1</v>
      </c>
      <c r="K78" s="330">
        <f>IF(ISBLANK(D19),"",IF(ISBLANK(D23),"",IF(D23&gt;D19,1,IF(D23&lt;D19,-1,0))))</f>
      </c>
      <c r="L78" s="330">
        <f>IF(ISBLANK(D19),"",IF(ISBLANK(D24),"",IF(D24&gt;D19,1,IF(D24&lt;D19,-1,0))))</f>
        <v>-1</v>
      </c>
      <c r="M78" s="330">
        <f t="shared" si="14"/>
        <v>-1</v>
      </c>
      <c r="N78" s="330">
        <f t="shared" si="15"/>
        <v>-1</v>
      </c>
      <c r="O78" s="330">
        <f t="shared" si="16"/>
        <v>-1</v>
      </c>
      <c r="P78" s="330">
        <f t="shared" si="17"/>
        <v>-1</v>
      </c>
      <c r="Q78" s="330">
        <f t="shared" si="18"/>
        <v>-1</v>
      </c>
      <c r="R78" s="330">
        <f t="shared" si="19"/>
      </c>
      <c r="S78" s="331">
        <f t="shared" si="20"/>
        <v>-9</v>
      </c>
    </row>
    <row r="79" spans="1:19" s="308" customFormat="1" ht="12.75" hidden="1">
      <c r="A79" s="307"/>
      <c r="B79" s="307"/>
      <c r="C79" s="319"/>
      <c r="D79" s="307"/>
      <c r="E79" s="307"/>
      <c r="F79" s="307"/>
      <c r="G79" s="307"/>
      <c r="H79" s="307"/>
      <c r="I79" s="330">
        <f>IF(ISBLANK(D20),"",IF(ISBLANK(D21),"",IF(D21&gt;D20,1,IF(D21&lt;D20,-1,0))))</f>
        <v>-1</v>
      </c>
      <c r="J79" s="330">
        <f>IF(ISBLANK(D20),"",IF(ISBLANK(D22),"",IF(D22&gt;D20,1,IF(D22&lt;D20,-1,0))))</f>
        <v>-1</v>
      </c>
      <c r="K79" s="330">
        <f>IF(ISBLANK(D20),"",IF(ISBLANK(D23),"",IF(D23&gt;D20,1,IF(D23&lt;D20,-1,0))))</f>
      </c>
      <c r="L79" s="330">
        <f>IF(ISBLANK(D20),"",IF(ISBLANK(D24),"",IF(D24&gt;D20,1,IF(D24&lt;D20,-1,0))))</f>
        <v>-1</v>
      </c>
      <c r="M79" s="330">
        <f t="shared" si="14"/>
        <v>-1</v>
      </c>
      <c r="N79" s="330">
        <f t="shared" si="15"/>
        <v>-1</v>
      </c>
      <c r="O79" s="330">
        <f t="shared" si="16"/>
        <v>-1</v>
      </c>
      <c r="P79" s="330">
        <f t="shared" si="17"/>
        <v>-1</v>
      </c>
      <c r="Q79" s="330">
        <f t="shared" si="18"/>
        <v>-1</v>
      </c>
      <c r="R79" s="330">
        <f t="shared" si="19"/>
      </c>
      <c r="S79" s="331">
        <f t="shared" si="20"/>
        <v>-8</v>
      </c>
    </row>
    <row r="80" spans="1:19" s="308" customFormat="1" ht="12.75" hidden="1">
      <c r="A80" s="307"/>
      <c r="B80" s="307"/>
      <c r="C80" s="319"/>
      <c r="D80" s="307"/>
      <c r="E80" s="307"/>
      <c r="F80" s="307"/>
      <c r="G80" s="307"/>
      <c r="H80" s="307"/>
      <c r="I80" s="307"/>
      <c r="J80" s="330">
        <f>IF(ISBLANK(D21),"",IF(ISBLANK(D22),"",IF(D22&gt;D21,1,IF(D22&lt;D21,-1,0))))</f>
        <v>-1</v>
      </c>
      <c r="K80" s="330">
        <f>IF(ISBLANK(D21),"",IF(ISBLANK(D23),"",IF(D23&gt;D21,1,IF(D23&lt;D21,-1,0))))</f>
      </c>
      <c r="L80" s="330">
        <f>IF(ISBLANK(D21),"",IF(ISBLANK(D24),"",IF(D24&gt;D21,1,IF(D24&lt;D21,-1,0))))</f>
        <v>-1</v>
      </c>
      <c r="M80" s="330">
        <f t="shared" si="14"/>
        <v>-1</v>
      </c>
      <c r="N80" s="330">
        <f t="shared" si="15"/>
        <v>-1</v>
      </c>
      <c r="O80" s="330">
        <f t="shared" si="16"/>
        <v>-1</v>
      </c>
      <c r="P80" s="330">
        <f t="shared" si="17"/>
        <v>-1</v>
      </c>
      <c r="Q80" s="330">
        <f t="shared" si="18"/>
        <v>-1</v>
      </c>
      <c r="R80" s="330">
        <f t="shared" si="19"/>
      </c>
      <c r="S80" s="331">
        <f t="shared" si="20"/>
        <v>-7</v>
      </c>
    </row>
    <row r="81" spans="1:19" s="308" customFormat="1" ht="12.75" hidden="1">
      <c r="A81" s="307"/>
      <c r="B81" s="307"/>
      <c r="C81" s="319"/>
      <c r="D81" s="307"/>
      <c r="E81" s="307"/>
      <c r="F81" s="307"/>
      <c r="G81" s="307"/>
      <c r="H81" s="307"/>
      <c r="I81" s="307"/>
      <c r="J81" s="307"/>
      <c r="K81" s="330">
        <f>IF(ISBLANK(D22),"",IF(ISBLANK(D23),"",IF(D23&gt;D22,1,IF(D23&lt;D22,-1,0))))</f>
      </c>
      <c r="L81" s="330">
        <f>IF(ISBLANK(D22),"",IF(ISBLANK(D24),"",IF(D24&gt;D22,1,IF(D24&lt;D22,-1,0))))</f>
        <v>1</v>
      </c>
      <c r="M81" s="330">
        <f t="shared" si="14"/>
        <v>-1</v>
      </c>
      <c r="N81" s="330">
        <f t="shared" si="15"/>
        <v>-1</v>
      </c>
      <c r="O81" s="330">
        <f t="shared" si="16"/>
        <v>-1</v>
      </c>
      <c r="P81" s="330">
        <f t="shared" si="17"/>
        <v>-1</v>
      </c>
      <c r="Q81" s="330">
        <f t="shared" si="18"/>
        <v>-1</v>
      </c>
      <c r="R81" s="330">
        <f t="shared" si="19"/>
      </c>
      <c r="S81" s="331">
        <f t="shared" si="20"/>
        <v>-4</v>
      </c>
    </row>
    <row r="82" spans="1:19" s="308" customFormat="1" ht="12.75" hidden="1">
      <c r="A82" s="307"/>
      <c r="B82" s="307"/>
      <c r="C82" s="319"/>
      <c r="D82" s="307"/>
      <c r="E82" s="307"/>
      <c r="F82" s="307"/>
      <c r="G82" s="307"/>
      <c r="H82" s="307"/>
      <c r="I82" s="307"/>
      <c r="J82" s="307"/>
      <c r="K82" s="307"/>
      <c r="L82" s="330">
        <f>IF(ISBLANK(D23),"",IF(ISBLANK(D24),"",IF(D24&gt;D23,1,IF(D24&lt;D23,-1,0))))</f>
      </c>
      <c r="M82" s="330">
        <f t="shared" si="14"/>
      </c>
      <c r="N82" s="330">
        <f t="shared" si="15"/>
      </c>
      <c r="O82" s="330">
        <f t="shared" si="16"/>
      </c>
      <c r="P82" s="330">
        <f t="shared" si="17"/>
      </c>
      <c r="Q82" s="330">
        <f t="shared" si="18"/>
      </c>
      <c r="R82" s="330">
        <f t="shared" si="19"/>
      </c>
      <c r="S82" s="331">
        <f t="shared" si="20"/>
        <v>0</v>
      </c>
    </row>
    <row r="83" spans="1:19" s="308" customFormat="1" ht="12.75" hidden="1">
      <c r="A83" s="307"/>
      <c r="B83" s="307"/>
      <c r="C83" s="319"/>
      <c r="D83" s="307"/>
      <c r="E83" s="307"/>
      <c r="F83" s="307"/>
      <c r="G83" s="307"/>
      <c r="H83" s="307"/>
      <c r="I83" s="307"/>
      <c r="J83" s="307"/>
      <c r="K83" s="307"/>
      <c r="L83" s="307"/>
      <c r="M83" s="330">
        <f t="shared" si="14"/>
        <v>-1</v>
      </c>
      <c r="N83" s="330">
        <f t="shared" si="15"/>
        <v>-1</v>
      </c>
      <c r="O83" s="330">
        <f t="shared" si="16"/>
        <v>-1</v>
      </c>
      <c r="P83" s="330">
        <f t="shared" si="17"/>
        <v>-1</v>
      </c>
      <c r="Q83" s="330">
        <f t="shared" si="18"/>
        <v>-1</v>
      </c>
      <c r="R83" s="330">
        <f t="shared" si="19"/>
      </c>
      <c r="S83" s="331">
        <f t="shared" si="20"/>
        <v>-5</v>
      </c>
    </row>
    <row r="84" spans="1:19" s="308" customFormat="1" ht="12.75" hidden="1">
      <c r="A84" s="307"/>
      <c r="B84" s="307"/>
      <c r="C84" s="319"/>
      <c r="D84" s="307"/>
      <c r="E84" s="307"/>
      <c r="F84" s="307"/>
      <c r="G84" s="307"/>
      <c r="H84" s="307"/>
      <c r="I84" s="307"/>
      <c r="J84" s="307"/>
      <c r="K84" s="307"/>
      <c r="L84" s="307"/>
      <c r="M84" s="330"/>
      <c r="N84" s="330">
        <f t="shared" si="15"/>
        <v>-1</v>
      </c>
      <c r="O84" s="330">
        <f t="shared" si="16"/>
        <v>-1</v>
      </c>
      <c r="P84" s="330">
        <f t="shared" si="17"/>
        <v>1</v>
      </c>
      <c r="Q84" s="330">
        <f t="shared" si="18"/>
        <v>-1</v>
      </c>
      <c r="R84" s="330">
        <f t="shared" si="19"/>
      </c>
      <c r="S84" s="331">
        <f>SUM(D84:R84)</f>
        <v>-2</v>
      </c>
    </row>
    <row r="85" spans="1:19" s="308" customFormat="1" ht="12.75" hidden="1">
      <c r="A85" s="307"/>
      <c r="B85" s="307"/>
      <c r="C85" s="319"/>
      <c r="D85" s="307"/>
      <c r="E85" s="307"/>
      <c r="F85" s="307"/>
      <c r="G85" s="307"/>
      <c r="H85" s="307"/>
      <c r="I85" s="307"/>
      <c r="J85" s="307"/>
      <c r="K85" s="307"/>
      <c r="L85" s="307"/>
      <c r="M85" s="330"/>
      <c r="N85" s="330"/>
      <c r="O85" s="330">
        <f t="shared" si="16"/>
        <v>0</v>
      </c>
      <c r="P85" s="330">
        <f t="shared" si="17"/>
        <v>1</v>
      </c>
      <c r="Q85" s="330">
        <f t="shared" si="18"/>
        <v>1</v>
      </c>
      <c r="R85" s="330">
        <f t="shared" si="19"/>
      </c>
      <c r="S85" s="331">
        <f t="shared" si="20"/>
        <v>2</v>
      </c>
    </row>
    <row r="86" spans="1:19" s="308" customFormat="1" ht="12.75" hidden="1">
      <c r="A86" s="307"/>
      <c r="B86" s="307"/>
      <c r="C86" s="319"/>
      <c r="D86" s="307"/>
      <c r="E86" s="307"/>
      <c r="F86" s="307"/>
      <c r="G86" s="307"/>
      <c r="H86" s="307"/>
      <c r="I86" s="307"/>
      <c r="J86" s="307"/>
      <c r="K86" s="307"/>
      <c r="L86" s="307"/>
      <c r="M86" s="330"/>
      <c r="N86" s="330"/>
      <c r="O86" s="330"/>
      <c r="P86" s="330">
        <f t="shared" si="17"/>
        <v>1</v>
      </c>
      <c r="Q86" s="330">
        <f t="shared" si="18"/>
        <v>1</v>
      </c>
      <c r="R86" s="330">
        <f t="shared" si="19"/>
      </c>
      <c r="S86" s="331">
        <f t="shared" si="20"/>
        <v>2</v>
      </c>
    </row>
    <row r="87" spans="1:19" s="308" customFormat="1" ht="12.75" hidden="1">
      <c r="A87" s="307"/>
      <c r="B87" s="307"/>
      <c r="C87" s="319"/>
      <c r="D87" s="307"/>
      <c r="E87" s="307"/>
      <c r="F87" s="307"/>
      <c r="G87" s="307"/>
      <c r="H87" s="307"/>
      <c r="I87" s="307"/>
      <c r="J87" s="307"/>
      <c r="K87" s="307"/>
      <c r="L87" s="307"/>
      <c r="M87" s="330"/>
      <c r="N87" s="330"/>
      <c r="O87" s="330"/>
      <c r="P87" s="330"/>
      <c r="Q87" s="330">
        <f t="shared" si="18"/>
        <v>-1</v>
      </c>
      <c r="R87" s="330">
        <f t="shared" si="19"/>
      </c>
      <c r="S87" s="331">
        <f t="shared" si="20"/>
        <v>-1</v>
      </c>
    </row>
    <row r="88" spans="1:19" s="308" customFormat="1" ht="13.5" hidden="1" thickBot="1">
      <c r="A88" s="307"/>
      <c r="B88" s="307"/>
      <c r="C88" s="332"/>
      <c r="D88" s="333"/>
      <c r="E88" s="333"/>
      <c r="F88" s="333"/>
      <c r="G88" s="333"/>
      <c r="H88" s="333"/>
      <c r="I88" s="333"/>
      <c r="J88" s="333"/>
      <c r="K88" s="333"/>
      <c r="L88" s="333"/>
      <c r="M88" s="334"/>
      <c r="N88" s="334"/>
      <c r="O88" s="334"/>
      <c r="P88" s="334"/>
      <c r="Q88" s="334"/>
      <c r="R88" s="334">
        <f t="shared" si="19"/>
      </c>
      <c r="S88" s="335">
        <f t="shared" si="20"/>
        <v>0</v>
      </c>
    </row>
    <row r="89" spans="1:19" s="308" customFormat="1" ht="12.75" hidden="1">
      <c r="A89" s="307"/>
      <c r="B89" s="307"/>
      <c r="C89" s="307"/>
      <c r="D89" s="307"/>
      <c r="E89" s="307"/>
      <c r="F89" s="307"/>
      <c r="G89" s="307"/>
      <c r="H89" s="307"/>
      <c r="I89" s="307"/>
      <c r="J89" s="336" t="s">
        <v>58</v>
      </c>
      <c r="K89" s="336"/>
      <c r="L89" s="307"/>
      <c r="M89" s="307"/>
      <c r="N89" s="307"/>
      <c r="O89" s="307"/>
      <c r="P89" s="307"/>
      <c r="Q89" s="307"/>
      <c r="R89" s="307"/>
      <c r="S89" s="337">
        <f>SUM(S74:S88)</f>
        <v>-63</v>
      </c>
    </row>
    <row r="90" spans="1:19" s="308" customFormat="1" ht="12.75" hidden="1">
      <c r="A90" s="307"/>
      <c r="B90" s="307"/>
      <c r="C90" s="307"/>
      <c r="D90" s="307"/>
      <c r="E90" s="307"/>
      <c r="F90" s="307"/>
      <c r="G90" s="307"/>
      <c r="H90" s="307"/>
      <c r="I90" s="307"/>
      <c r="J90" s="307"/>
      <c r="K90" s="307"/>
      <c r="L90" s="307"/>
      <c r="M90" s="307"/>
      <c r="N90" s="307"/>
      <c r="O90" s="307"/>
      <c r="P90" s="307"/>
      <c r="Q90" s="307"/>
      <c r="R90" s="307"/>
      <c r="S90" s="307"/>
    </row>
    <row r="91" spans="1:19" s="308" customFormat="1" ht="12.75" hidden="1">
      <c r="A91" s="307"/>
      <c r="B91" s="307"/>
      <c r="C91" s="318" t="str">
        <f>+E14</f>
        <v>Toluene</v>
      </c>
      <c r="D91" s="309"/>
      <c r="E91" s="309" t="s">
        <v>30</v>
      </c>
      <c r="F91" s="307">
        <f>$C$13</f>
        <v>0</v>
      </c>
      <c r="G91" s="307"/>
      <c r="H91" s="309"/>
      <c r="I91" s="309" t="s">
        <v>31</v>
      </c>
      <c r="J91" s="307">
        <f>$G$13</f>
        <v>0</v>
      </c>
      <c r="K91" s="309"/>
      <c r="L91" s="307" t="s">
        <v>32</v>
      </c>
      <c r="M91" s="307">
        <v>24</v>
      </c>
      <c r="N91" s="307">
        <v>25</v>
      </c>
      <c r="O91" s="307">
        <v>26</v>
      </c>
      <c r="P91" s="307">
        <v>272</v>
      </c>
      <c r="Q91" s="307">
        <v>28</v>
      </c>
      <c r="R91" s="307">
        <v>29</v>
      </c>
      <c r="S91" s="321">
        <f>$I$13</f>
        <v>0</v>
      </c>
    </row>
    <row r="92" spans="1:19" s="308" customFormat="1" ht="12.75" hidden="1">
      <c r="A92" s="307"/>
      <c r="B92" s="307"/>
      <c r="C92" s="322" t="s">
        <v>35</v>
      </c>
      <c r="D92" s="323" t="s">
        <v>36</v>
      </c>
      <c r="E92" s="324" t="s">
        <v>37</v>
      </c>
      <c r="F92" s="324" t="s">
        <v>38</v>
      </c>
      <c r="G92" s="324" t="s">
        <v>39</v>
      </c>
      <c r="H92" s="324" t="s">
        <v>40</v>
      </c>
      <c r="I92" s="324" t="s">
        <v>41</v>
      </c>
      <c r="J92" s="324" t="s">
        <v>42</v>
      </c>
      <c r="K92" s="324" t="s">
        <v>43</v>
      </c>
      <c r="L92" s="324" t="s">
        <v>44</v>
      </c>
      <c r="M92" s="324" t="s">
        <v>176</v>
      </c>
      <c r="N92" s="324" t="s">
        <v>177</v>
      </c>
      <c r="O92" s="324" t="s">
        <v>178</v>
      </c>
      <c r="P92" s="324" t="s">
        <v>179</v>
      </c>
      <c r="Q92" s="324" t="s">
        <v>180</v>
      </c>
      <c r="R92" s="324" t="s">
        <v>181</v>
      </c>
      <c r="S92" s="325"/>
    </row>
    <row r="93" spans="1:19" s="308" customFormat="1" ht="12.75" hidden="1">
      <c r="A93" s="307"/>
      <c r="B93" s="307"/>
      <c r="C93" s="326">
        <f>IF(ISBLANK(E15),"",E15)</f>
        <v>38</v>
      </c>
      <c r="D93" s="327">
        <f>IF(ISBLANK(E16),"",E16)</f>
        <v>18</v>
      </c>
      <c r="E93" s="328">
        <f>IF(ISBLANK(E17),"",E17)</f>
        <v>16</v>
      </c>
      <c r="F93" s="328">
        <f>IF(ISBLANK(E18),"",E18)</f>
        <v>33</v>
      </c>
      <c r="G93" s="328">
        <f>IF(ISBLANK(E19),"",E19)</f>
      </c>
      <c r="H93" s="328">
        <f>IF(ISBLANK(E20),"",E20)</f>
        <v>7.8</v>
      </c>
      <c r="I93" s="328">
        <f>IF(ISBLANK(E21),"",E21)</f>
        <v>3.6</v>
      </c>
      <c r="J93" s="328">
        <f>IF(ISBLANK(E22),"",E22)</f>
        <v>20</v>
      </c>
      <c r="K93" s="328">
        <f>IF(ISBLANK(E23),"",E23)</f>
        <v>21</v>
      </c>
      <c r="L93" s="328">
        <f>IF(ISBLANK(E24),"",E24)</f>
        <v>19</v>
      </c>
      <c r="M93" s="328">
        <f>IF(ISBLANK(E25),"",E25)</f>
      </c>
      <c r="N93" s="328">
        <f>IF(ISBLANK(E26),"",E26)</f>
      </c>
      <c r="O93" s="328">
        <f>IF(ISBLANK(E27),"",E27)</f>
      </c>
      <c r="P93" s="328">
        <f>IF(ISBLANK(E28),"",E28)</f>
      </c>
      <c r="Q93" s="328">
        <f>IF(ISBLANK(E29),"",E29)</f>
      </c>
      <c r="R93" s="328">
        <f>IF(ISBLANK(E30),"",E30)</f>
      </c>
      <c r="S93" s="329" t="s">
        <v>46</v>
      </c>
    </row>
    <row r="94" spans="1:19" s="308" customFormat="1" ht="12.75" hidden="1">
      <c r="A94" s="307"/>
      <c r="B94" s="307"/>
      <c r="C94" s="319"/>
      <c r="D94" s="321">
        <f>IF(ISBLANK(E15),"",IF(ISBLANK(E16),"",IF(E16&gt;E15,1,IF(E16&lt;E15,-1,0))))</f>
        <v>-1</v>
      </c>
      <c r="E94" s="330">
        <f>IF(ISBLANK(E15),"",IF(ISBLANK(E17),"",IF(E17&gt;E15,1,IF(E17&lt;E15,-1,0))))</f>
        <v>-1</v>
      </c>
      <c r="F94" s="330">
        <f>IF(ISBLANK(E15),"",IF(ISBLANK(E18),"",IF(E18&gt;E15,1,IF(E18&lt;E15,-1,0))))</f>
        <v>-1</v>
      </c>
      <c r="G94" s="330">
        <f>IF(ISBLANK(E15),"",IF(ISBLANK(E19),"",IF(E19&gt;E15,1,IF(E19&lt;E15,-1,0))))</f>
      </c>
      <c r="H94" s="330">
        <f>IF(ISBLANK(E15),"",IF(ISBLANK(E20),"",IF(E20&gt;E15,1,IF(E20&lt;E15,-1,0))))</f>
        <v>-1</v>
      </c>
      <c r="I94" s="330">
        <f>IF(ISBLANK(E15),"",IF(ISBLANK(E21),"",IF(E21&gt;E15,1,IF(E21&lt;E15,-1,0))))</f>
        <v>-1</v>
      </c>
      <c r="J94" s="330">
        <f>IF(ISBLANK(E15),"",IF(ISBLANK(E22),"",IF(E22&gt;E15,1,IF(E22&lt;E15,-1,0))))</f>
        <v>-1</v>
      </c>
      <c r="K94" s="330">
        <f>IF(ISBLANK(E15),"",IF(ISBLANK(E23),"",IF(E23&gt;E15,1,IF(E23&lt;E15,-1,0))))</f>
        <v>-1</v>
      </c>
      <c r="L94" s="330">
        <f>IF(ISBLANK($E15),"",IF(ISBLANK($E24),"",IF($E24&gt;$E15,1,IF($E24&lt;$E15,-1,0))))</f>
        <v>-1</v>
      </c>
      <c r="M94" s="330">
        <f>IF(ISBLANK($E15),"",IF(ISBLANK($E$25),"",IF($E$25&gt;$E15,1,IF($E$25&lt;$E15,-1,0))))</f>
      </c>
      <c r="N94" s="330">
        <f>IF(ISBLANK($E15),"",IF(ISBLANK($E$26),"",IF($E$26&gt;$E15,1,IF($E$26&lt;$E15,-1,0))))</f>
      </c>
      <c r="O94" s="330">
        <f>IF(ISBLANK($E15),"",IF(ISBLANK($E$27),"",IF($E$27&gt;$E15,1,IF($E$27&lt;$E15,-1,0))))</f>
      </c>
      <c r="P94" s="330">
        <f>IF(ISBLANK($E15),"",IF(ISBLANK($E$28),"",IF($E$28&gt;$E15,1,IF($E$28&lt;$E15,-1,0))))</f>
      </c>
      <c r="Q94" s="330">
        <f>IF(ISBLANK($E15),"",IF(ISBLANK($E$29),"",IF($E$29&gt;$E15,1,IF($E$29&lt;$E15,-1,0))))</f>
      </c>
      <c r="R94" s="330">
        <f>IF(ISBLANK($E15),"",IF(ISBLANK($E$30),"",IF($E$30&gt;$E15,1,IF($E$30&lt;$E15,-1,0))))</f>
      </c>
      <c r="S94" s="331">
        <f>SUM(D94:R94)</f>
        <v>-8</v>
      </c>
    </row>
    <row r="95" spans="1:19" s="308" customFormat="1" ht="12.75" hidden="1">
      <c r="A95" s="307"/>
      <c r="B95" s="307"/>
      <c r="C95" s="319"/>
      <c r="D95" s="307"/>
      <c r="E95" s="330">
        <f>IF(ISBLANK(E16),"",IF(ISBLANK(E17),"",IF(E17&gt;E16,1,IF(E17&lt;E16,-1,0))))</f>
        <v>-1</v>
      </c>
      <c r="F95" s="330">
        <f>IF(ISBLANK(E16),"",IF(ISBLANK(E18),"",IF(E18&gt;E16,1,IF(E18&lt;E16,-1,0))))</f>
        <v>1</v>
      </c>
      <c r="G95" s="330">
        <f>IF(ISBLANK(E16),"",IF(ISBLANK(E19),"",IF(E19&gt;E16,1,IF(E19&lt;E16,-1,0))))</f>
      </c>
      <c r="H95" s="330">
        <f>IF(ISBLANK(E16),"",IF(ISBLANK(E20),"",IF(E20&gt;E16,1,IF(E20&lt;E16,-1,0))))</f>
        <v>-1</v>
      </c>
      <c r="I95" s="330">
        <f>IF(ISBLANK(E16),"",IF(ISBLANK(E21),"",IF(E21&gt;E16,1,IF(E21&lt;E16,-1,0))))</f>
        <v>-1</v>
      </c>
      <c r="J95" s="330">
        <f>IF(ISBLANK(E16),"",IF(ISBLANK(E22),"",IF(E22&gt;E16,1,IF(E22&lt;E16,-1,0))))</f>
        <v>1</v>
      </c>
      <c r="K95" s="330">
        <f>IF(ISBLANK(E16),"",IF(ISBLANK(E23),"",IF(E23&gt;E16,1,IF(E23&lt;E16,-1,0))))</f>
        <v>1</v>
      </c>
      <c r="L95" s="330">
        <f>IF(ISBLANK(E16),"",IF(ISBLANK(E24),"",IF(E24&gt;E16,1,IF(E24&lt;E16,-1,0))))</f>
        <v>1</v>
      </c>
      <c r="M95" s="330">
        <f aca="true" t="shared" si="21" ref="M95:M103">IF(ISBLANK($E16),"",IF(ISBLANK($E$25),"",IF($E$25&gt;$E16,1,IF($E$25&lt;$E16,-1,0))))</f>
      </c>
      <c r="N95" s="330">
        <f aca="true" t="shared" si="22" ref="N95:N104">IF(ISBLANK($E16),"",IF(ISBLANK($E$26),"",IF($E$26&gt;$E16,1,IF($E$26&lt;$E16,-1,0))))</f>
      </c>
      <c r="O95" s="330">
        <f aca="true" t="shared" si="23" ref="O95:O105">IF(ISBLANK($E16),"",IF(ISBLANK($E$27),"",IF($E$27&gt;$E16,1,IF($E$27&lt;$E16,-1,0))))</f>
      </c>
      <c r="P95" s="330">
        <f aca="true" t="shared" si="24" ref="P95:P106">IF(ISBLANK($E16),"",IF(ISBLANK($E$28),"",IF($E$28&gt;$E16,1,IF($E$28&lt;$E16,-1,0))))</f>
      </c>
      <c r="Q95" s="330">
        <f aca="true" t="shared" si="25" ref="Q95:Q107">IF(ISBLANK($E16),"",IF(ISBLANK($E$29),"",IF($E$29&gt;$E16,1,IF($E$29&lt;$E16,-1,0))))</f>
      </c>
      <c r="R95" s="330">
        <f aca="true" t="shared" si="26" ref="R95:R108">IF(ISBLANK($E16),"",IF(ISBLANK($E$30),"",IF($E$30&gt;$E16,1,IF($E$30&lt;$E16,-1,0))))</f>
      </c>
      <c r="S95" s="331">
        <f aca="true" t="shared" si="27" ref="S95:S108">SUM(D95:R95)</f>
        <v>1</v>
      </c>
    </row>
    <row r="96" spans="1:19" s="308" customFormat="1" ht="12.75" hidden="1">
      <c r="A96" s="307"/>
      <c r="B96" s="307"/>
      <c r="C96" s="319"/>
      <c r="D96" s="307"/>
      <c r="E96" s="307"/>
      <c r="F96" s="330">
        <f>IF(ISBLANK(E17),"",IF(ISBLANK(E18),"",IF(E18&gt;E17,1,IF(E18&lt;E17,-1,0))))</f>
        <v>1</v>
      </c>
      <c r="G96" s="330">
        <f>IF(ISBLANK(E17),"",IF(ISBLANK(E19),"",IF(E19&gt;E17,1,IF(E19&lt;E17,-1,0))))</f>
      </c>
      <c r="H96" s="330">
        <f>IF(ISBLANK(E17),"",IF(ISBLANK(E20),"",IF(E20&gt;E17,1,IF(E20&lt;E17,-1,0))))</f>
        <v>-1</v>
      </c>
      <c r="I96" s="330">
        <f>IF(ISBLANK(E17),"",IF(ISBLANK(E21),"",IF(E21&gt;E17,1,IF(E21&lt;E17,-1,0))))</f>
        <v>-1</v>
      </c>
      <c r="J96" s="330">
        <f>IF(ISBLANK(E17),"",IF(ISBLANK(E22),"",IF(E22&gt;E17,1,IF(E22&lt;E17,-1,0))))</f>
        <v>1</v>
      </c>
      <c r="K96" s="330">
        <f>IF(ISBLANK(E17),"",IF(ISBLANK(E23),"",IF(E23&gt;E17,1,IF(E23&lt;E17,-1,0))))</f>
        <v>1</v>
      </c>
      <c r="L96" s="330">
        <f>IF(ISBLANK(E17),"",IF(ISBLANK(E24),"",IF(E24&gt;E17,1,IF(E24&lt;E17,-1,0))))</f>
        <v>1</v>
      </c>
      <c r="M96" s="330">
        <f t="shared" si="21"/>
      </c>
      <c r="N96" s="330">
        <f t="shared" si="22"/>
      </c>
      <c r="O96" s="330">
        <f t="shared" si="23"/>
      </c>
      <c r="P96" s="330">
        <f t="shared" si="24"/>
      </c>
      <c r="Q96" s="330">
        <f t="shared" si="25"/>
      </c>
      <c r="R96" s="330">
        <f t="shared" si="26"/>
      </c>
      <c r="S96" s="331">
        <f t="shared" si="27"/>
        <v>2</v>
      </c>
    </row>
    <row r="97" spans="1:19" s="308" customFormat="1" ht="12.75" hidden="1">
      <c r="A97" s="307"/>
      <c r="B97" s="307"/>
      <c r="C97" s="319"/>
      <c r="D97" s="307"/>
      <c r="E97" s="307"/>
      <c r="F97" s="307"/>
      <c r="G97" s="330">
        <f>IF(ISBLANK(E18),"",IF(ISBLANK(E19),"",IF(E19&gt;E18,1,IF(E19&lt;E18,-1,0))))</f>
      </c>
      <c r="H97" s="330">
        <f>IF(ISBLANK(E18),"",IF(ISBLANK(E20),"",IF(E20&gt;E18,1,IF(E20&lt;E18,-1,0))))</f>
        <v>-1</v>
      </c>
      <c r="I97" s="330">
        <f>IF(ISBLANK(E18),"",IF(ISBLANK(E21),"",IF(E21&gt;E18,1,IF(E21&lt;E18,-1,0))))</f>
        <v>-1</v>
      </c>
      <c r="J97" s="330">
        <f>IF(ISBLANK(E18),"",IF(ISBLANK(E22),"",IF(E22&gt;E18,1,IF(E22&lt;E18,-1,0))))</f>
        <v>-1</v>
      </c>
      <c r="K97" s="330">
        <f>IF(ISBLANK(E18),"",IF(ISBLANK(E23),"",IF(E23&gt;E18,1,IF(E23&lt;E18,-1,0))))</f>
        <v>-1</v>
      </c>
      <c r="L97" s="330">
        <f>IF(ISBLANK(E18),"",IF(ISBLANK(E24),"",IF(E24&gt;E18,1,IF(E24&lt;E18,-1,0))))</f>
        <v>-1</v>
      </c>
      <c r="M97" s="330">
        <f t="shared" si="21"/>
      </c>
      <c r="N97" s="330">
        <f t="shared" si="22"/>
      </c>
      <c r="O97" s="330">
        <f t="shared" si="23"/>
      </c>
      <c r="P97" s="330">
        <f t="shared" si="24"/>
      </c>
      <c r="Q97" s="330">
        <f t="shared" si="25"/>
      </c>
      <c r="R97" s="330">
        <f t="shared" si="26"/>
      </c>
      <c r="S97" s="331">
        <f t="shared" si="27"/>
        <v>-5</v>
      </c>
    </row>
    <row r="98" spans="1:19" s="308" customFormat="1" ht="12.75" hidden="1">
      <c r="A98" s="307"/>
      <c r="B98" s="307"/>
      <c r="C98" s="319"/>
      <c r="D98" s="307"/>
      <c r="E98" s="307"/>
      <c r="F98" s="307"/>
      <c r="G98" s="307"/>
      <c r="H98" s="330">
        <f>IF(ISBLANK(E19),"",IF(ISBLANK(E20),"",IF(E20&gt;E19,1,IF(E20&lt;E19,-1,0))))</f>
      </c>
      <c r="I98" s="330">
        <f>IF(ISBLANK(E19),"",IF(ISBLANK(E21),"",IF(E21&gt;E19,1,IF(E21&lt;E19,-1,0))))</f>
      </c>
      <c r="J98" s="330">
        <f>IF(ISBLANK(E19),"",IF(ISBLANK(E22),"",IF(E22&gt;E19,1,IF(E22&lt;E19,-1,0))))</f>
      </c>
      <c r="K98" s="330">
        <f>IF(ISBLANK(E19),"",IF(ISBLANK(E23),"",IF(E23&gt;E19,1,IF(E23&lt;E19,-1,0))))</f>
      </c>
      <c r="L98" s="330">
        <f>IF(ISBLANK(E19),"",IF(ISBLANK(E24),"",IF(E24&gt;E19,1,IF(E24&lt;E19,-1,0))))</f>
      </c>
      <c r="M98" s="330">
        <f t="shared" si="21"/>
      </c>
      <c r="N98" s="330">
        <f t="shared" si="22"/>
      </c>
      <c r="O98" s="330">
        <f t="shared" si="23"/>
      </c>
      <c r="P98" s="330">
        <f t="shared" si="24"/>
      </c>
      <c r="Q98" s="330">
        <f t="shared" si="25"/>
      </c>
      <c r="R98" s="330">
        <f t="shared" si="26"/>
      </c>
      <c r="S98" s="331">
        <f t="shared" si="27"/>
        <v>0</v>
      </c>
    </row>
    <row r="99" spans="1:19" s="308" customFormat="1" ht="12.75" hidden="1">
      <c r="A99" s="307"/>
      <c r="B99" s="307"/>
      <c r="C99" s="319"/>
      <c r="D99" s="307"/>
      <c r="E99" s="307"/>
      <c r="F99" s="307"/>
      <c r="G99" s="307"/>
      <c r="H99" s="307"/>
      <c r="I99" s="330">
        <f>IF(ISBLANK(E20),"",IF(ISBLANK(E21),"",IF(E21&gt;E20,1,IF(E21&lt;E20,-1,0))))</f>
        <v>-1</v>
      </c>
      <c r="J99" s="330">
        <f>IF(ISBLANK(E20),"",IF(ISBLANK(E22),"",IF(E22&gt;E20,1,IF(E22&lt;E20,-1,0))))</f>
        <v>1</v>
      </c>
      <c r="K99" s="330">
        <f>IF(ISBLANK(E20),"",IF(ISBLANK(E23),"",IF(E23&gt;E20,1,IF(E23&lt;E20,-1,0))))</f>
        <v>1</v>
      </c>
      <c r="L99" s="330">
        <f>IF(ISBLANK(E20),"",IF(ISBLANK(E24),"",IF(E24&gt;E20,1,IF(E24&lt;E20,-1,0))))</f>
        <v>1</v>
      </c>
      <c r="M99" s="330">
        <f t="shared" si="21"/>
      </c>
      <c r="N99" s="330">
        <f t="shared" si="22"/>
      </c>
      <c r="O99" s="330">
        <f t="shared" si="23"/>
      </c>
      <c r="P99" s="330">
        <f t="shared" si="24"/>
      </c>
      <c r="Q99" s="330">
        <f t="shared" si="25"/>
      </c>
      <c r="R99" s="330">
        <f t="shared" si="26"/>
      </c>
      <c r="S99" s="331">
        <f t="shared" si="27"/>
        <v>2</v>
      </c>
    </row>
    <row r="100" spans="1:19" s="308" customFormat="1" ht="12.75" hidden="1">
      <c r="A100" s="307"/>
      <c r="B100" s="307"/>
      <c r="C100" s="319"/>
      <c r="D100" s="307"/>
      <c r="E100" s="307"/>
      <c r="F100" s="307"/>
      <c r="G100" s="307"/>
      <c r="H100" s="307"/>
      <c r="I100" s="307"/>
      <c r="J100" s="330">
        <f>IF(ISBLANK(E21),"",IF(ISBLANK(E22),"",IF(E22&gt;E21,1,IF(E22&lt;E21,-1,0))))</f>
        <v>1</v>
      </c>
      <c r="K100" s="330">
        <f>IF(ISBLANK(E21),"",IF(ISBLANK(E23),"",IF(E23&gt;E21,1,IF(E23&lt;E21,-1,0))))</f>
        <v>1</v>
      </c>
      <c r="L100" s="330">
        <f>IF(ISBLANK(E21),"",IF(ISBLANK(E24),"",IF(E24&gt;E21,1,IF(E24&lt;E21,-1,0))))</f>
        <v>1</v>
      </c>
      <c r="M100" s="330">
        <f t="shared" si="21"/>
      </c>
      <c r="N100" s="330">
        <f t="shared" si="22"/>
      </c>
      <c r="O100" s="330">
        <f t="shared" si="23"/>
      </c>
      <c r="P100" s="330">
        <f t="shared" si="24"/>
      </c>
      <c r="Q100" s="330">
        <f t="shared" si="25"/>
      </c>
      <c r="R100" s="330">
        <f t="shared" si="26"/>
      </c>
      <c r="S100" s="331">
        <f t="shared" si="27"/>
        <v>3</v>
      </c>
    </row>
    <row r="101" spans="1:19" s="308" customFormat="1" ht="12.75" hidden="1">
      <c r="A101" s="307"/>
      <c r="B101" s="307"/>
      <c r="C101" s="319"/>
      <c r="D101" s="307"/>
      <c r="E101" s="307"/>
      <c r="F101" s="307"/>
      <c r="G101" s="307"/>
      <c r="H101" s="307"/>
      <c r="I101" s="307"/>
      <c r="J101" s="307"/>
      <c r="K101" s="330">
        <f>IF(ISBLANK(E22),"",IF(ISBLANK(E23),"",IF(E23&gt;E22,1,IF(E23&lt;E22,-1,0))))</f>
        <v>1</v>
      </c>
      <c r="L101" s="330">
        <f>IF(ISBLANK(E22),"",IF(ISBLANK(E24),"",IF(E24&gt;E22,1,IF(E24&lt;E22,-1,0))))</f>
        <v>-1</v>
      </c>
      <c r="M101" s="330">
        <f t="shared" si="21"/>
      </c>
      <c r="N101" s="330">
        <f t="shared" si="22"/>
      </c>
      <c r="O101" s="330">
        <f t="shared" si="23"/>
      </c>
      <c r="P101" s="330">
        <f t="shared" si="24"/>
      </c>
      <c r="Q101" s="330">
        <f t="shared" si="25"/>
      </c>
      <c r="R101" s="330">
        <f t="shared" si="26"/>
      </c>
      <c r="S101" s="331">
        <f t="shared" si="27"/>
        <v>0</v>
      </c>
    </row>
    <row r="102" spans="1:19" s="308" customFormat="1" ht="12.75" hidden="1">
      <c r="A102" s="307"/>
      <c r="B102" s="307"/>
      <c r="C102" s="319"/>
      <c r="D102" s="307"/>
      <c r="E102" s="307"/>
      <c r="F102" s="307"/>
      <c r="G102" s="307"/>
      <c r="H102" s="307"/>
      <c r="I102" s="307"/>
      <c r="J102" s="307"/>
      <c r="K102" s="307"/>
      <c r="L102" s="330">
        <f>IF(ISBLANK(E23),"",IF(ISBLANK(E24),"",IF(E24&gt;E23,1,IF(E24&lt;E23,-1,0))))</f>
        <v>-1</v>
      </c>
      <c r="M102" s="330">
        <f t="shared" si="21"/>
      </c>
      <c r="N102" s="330">
        <f t="shared" si="22"/>
      </c>
      <c r="O102" s="330">
        <f t="shared" si="23"/>
      </c>
      <c r="P102" s="330">
        <f t="shared" si="24"/>
      </c>
      <c r="Q102" s="330">
        <f t="shared" si="25"/>
      </c>
      <c r="R102" s="330">
        <f t="shared" si="26"/>
      </c>
      <c r="S102" s="331">
        <f t="shared" si="27"/>
        <v>-1</v>
      </c>
    </row>
    <row r="103" spans="1:19" s="308" customFormat="1" ht="12.75" hidden="1">
      <c r="A103" s="307"/>
      <c r="B103" s="307"/>
      <c r="C103" s="319"/>
      <c r="D103" s="307"/>
      <c r="E103" s="307"/>
      <c r="F103" s="307"/>
      <c r="G103" s="307"/>
      <c r="H103" s="307"/>
      <c r="I103" s="307"/>
      <c r="J103" s="307"/>
      <c r="K103" s="307"/>
      <c r="L103" s="307"/>
      <c r="M103" s="330">
        <f t="shared" si="21"/>
      </c>
      <c r="N103" s="330">
        <f t="shared" si="22"/>
      </c>
      <c r="O103" s="330">
        <f t="shared" si="23"/>
      </c>
      <c r="P103" s="330">
        <f t="shared" si="24"/>
      </c>
      <c r="Q103" s="330">
        <f t="shared" si="25"/>
      </c>
      <c r="R103" s="330">
        <f t="shared" si="26"/>
      </c>
      <c r="S103" s="331">
        <f t="shared" si="27"/>
        <v>0</v>
      </c>
    </row>
    <row r="104" spans="1:19" s="308" customFormat="1" ht="12.75" hidden="1">
      <c r="A104" s="307"/>
      <c r="B104" s="307"/>
      <c r="C104" s="319"/>
      <c r="D104" s="307"/>
      <c r="E104" s="307"/>
      <c r="F104" s="307"/>
      <c r="G104" s="307"/>
      <c r="H104" s="307"/>
      <c r="I104" s="307"/>
      <c r="J104" s="307"/>
      <c r="K104" s="307"/>
      <c r="L104" s="307"/>
      <c r="M104" s="330"/>
      <c r="N104" s="330">
        <f t="shared" si="22"/>
      </c>
      <c r="O104" s="330">
        <f t="shared" si="23"/>
      </c>
      <c r="P104" s="330">
        <f t="shared" si="24"/>
      </c>
      <c r="Q104" s="330">
        <f t="shared" si="25"/>
      </c>
      <c r="R104" s="330">
        <f t="shared" si="26"/>
      </c>
      <c r="S104" s="331">
        <f t="shared" si="27"/>
        <v>0</v>
      </c>
    </row>
    <row r="105" spans="1:19" s="308" customFormat="1" ht="12.75" hidden="1">
      <c r="A105" s="307"/>
      <c r="B105" s="307"/>
      <c r="C105" s="319"/>
      <c r="D105" s="307"/>
      <c r="E105" s="307"/>
      <c r="F105" s="307"/>
      <c r="G105" s="307"/>
      <c r="H105" s="307"/>
      <c r="I105" s="307"/>
      <c r="J105" s="307"/>
      <c r="K105" s="307"/>
      <c r="L105" s="307"/>
      <c r="M105" s="330"/>
      <c r="N105" s="330"/>
      <c r="O105" s="330">
        <f t="shared" si="23"/>
      </c>
      <c r="P105" s="330">
        <f t="shared" si="24"/>
      </c>
      <c r="Q105" s="330">
        <f t="shared" si="25"/>
      </c>
      <c r="R105" s="330">
        <f t="shared" si="26"/>
      </c>
      <c r="S105" s="331">
        <f t="shared" si="27"/>
        <v>0</v>
      </c>
    </row>
    <row r="106" spans="1:19" s="308" customFormat="1" ht="12.75" hidden="1">
      <c r="A106" s="307"/>
      <c r="B106" s="307"/>
      <c r="C106" s="319"/>
      <c r="D106" s="307"/>
      <c r="E106" s="307"/>
      <c r="F106" s="307"/>
      <c r="G106" s="307"/>
      <c r="H106" s="307"/>
      <c r="I106" s="307"/>
      <c r="J106" s="307"/>
      <c r="K106" s="307"/>
      <c r="L106" s="307"/>
      <c r="M106" s="330"/>
      <c r="N106" s="330"/>
      <c r="O106" s="330"/>
      <c r="P106" s="330">
        <f t="shared" si="24"/>
      </c>
      <c r="Q106" s="330">
        <f t="shared" si="25"/>
      </c>
      <c r="R106" s="330">
        <f t="shared" si="26"/>
      </c>
      <c r="S106" s="331">
        <f>SUM(D106:R106)</f>
        <v>0</v>
      </c>
    </row>
    <row r="107" spans="1:19" s="308" customFormat="1" ht="12.75" hidden="1">
      <c r="A107" s="307"/>
      <c r="B107" s="307"/>
      <c r="C107" s="319"/>
      <c r="D107" s="307"/>
      <c r="E107" s="307"/>
      <c r="F107" s="307"/>
      <c r="G107" s="307"/>
      <c r="H107" s="307"/>
      <c r="I107" s="307"/>
      <c r="J107" s="307"/>
      <c r="K107" s="307"/>
      <c r="L107" s="307"/>
      <c r="M107" s="330"/>
      <c r="N107" s="330"/>
      <c r="O107" s="330"/>
      <c r="P107" s="330"/>
      <c r="Q107" s="330">
        <f t="shared" si="25"/>
      </c>
      <c r="R107" s="330">
        <f t="shared" si="26"/>
      </c>
      <c r="S107" s="331">
        <f t="shared" si="27"/>
        <v>0</v>
      </c>
    </row>
    <row r="108" spans="1:19" s="308" customFormat="1" ht="13.5" hidden="1" thickBot="1">
      <c r="A108" s="307"/>
      <c r="B108" s="307"/>
      <c r="C108" s="332"/>
      <c r="D108" s="333"/>
      <c r="E108" s="333"/>
      <c r="F108" s="333"/>
      <c r="G108" s="333"/>
      <c r="H108" s="333"/>
      <c r="I108" s="333"/>
      <c r="J108" s="333"/>
      <c r="K108" s="333"/>
      <c r="L108" s="333"/>
      <c r="M108" s="334"/>
      <c r="N108" s="334"/>
      <c r="O108" s="334"/>
      <c r="P108" s="334"/>
      <c r="Q108" s="334"/>
      <c r="R108" s="334">
        <f t="shared" si="26"/>
      </c>
      <c r="S108" s="335">
        <f t="shared" si="27"/>
        <v>0</v>
      </c>
    </row>
    <row r="109" spans="1:19" s="308" customFormat="1" ht="12.75" hidden="1">
      <c r="A109" s="307"/>
      <c r="B109" s="307"/>
      <c r="C109" s="307"/>
      <c r="D109" s="307"/>
      <c r="E109" s="307"/>
      <c r="F109" s="307"/>
      <c r="G109" s="307"/>
      <c r="H109" s="307"/>
      <c r="I109" s="307"/>
      <c r="J109" s="336" t="s">
        <v>58</v>
      </c>
      <c r="K109" s="336"/>
      <c r="L109" s="307"/>
      <c r="M109" s="307"/>
      <c r="N109" s="307"/>
      <c r="O109" s="307"/>
      <c r="P109" s="307"/>
      <c r="Q109" s="307"/>
      <c r="R109" s="307"/>
      <c r="S109" s="337">
        <f>SUM(S94:S108)</f>
        <v>-6</v>
      </c>
    </row>
    <row r="110" spans="1:19" s="308" customFormat="1" ht="12.75" hidden="1">
      <c r="A110" s="307"/>
      <c r="B110" s="307"/>
      <c r="C110" s="307"/>
      <c r="D110" s="307"/>
      <c r="E110" s="307"/>
      <c r="F110" s="307"/>
      <c r="G110" s="307"/>
      <c r="H110" s="307"/>
      <c r="I110" s="307"/>
      <c r="J110" s="307"/>
      <c r="K110" s="307"/>
      <c r="L110" s="307"/>
      <c r="M110" s="307"/>
      <c r="N110" s="307"/>
      <c r="O110" s="307"/>
      <c r="P110" s="307"/>
      <c r="Q110" s="307"/>
      <c r="R110" s="307"/>
      <c r="S110" s="307"/>
    </row>
    <row r="111" spans="1:19" s="308" customFormat="1" ht="12.75" hidden="1">
      <c r="A111" s="307"/>
      <c r="B111" s="307"/>
      <c r="C111" s="318" t="str">
        <f>+F14</f>
        <v>Naphthalene</v>
      </c>
      <c r="D111" s="309"/>
      <c r="E111" s="309" t="s">
        <v>30</v>
      </c>
      <c r="F111" s="307">
        <f>$C$13</f>
        <v>0</v>
      </c>
      <c r="G111" s="307"/>
      <c r="H111" s="309"/>
      <c r="I111" s="309" t="s">
        <v>31</v>
      </c>
      <c r="J111" s="307">
        <f>$G$13</f>
        <v>0</v>
      </c>
      <c r="K111" s="309"/>
      <c r="L111" s="307" t="s">
        <v>32</v>
      </c>
      <c r="M111" s="307">
        <v>24</v>
      </c>
      <c r="N111" s="307">
        <v>25</v>
      </c>
      <c r="O111" s="307">
        <v>26</v>
      </c>
      <c r="P111" s="307">
        <v>27</v>
      </c>
      <c r="Q111" s="307">
        <v>28</v>
      </c>
      <c r="R111" s="307">
        <v>29</v>
      </c>
      <c r="S111" s="321">
        <f>$I$13</f>
        <v>0</v>
      </c>
    </row>
    <row r="112" spans="1:19" s="308" customFormat="1" ht="12.75" hidden="1">
      <c r="A112" s="307"/>
      <c r="B112" s="307"/>
      <c r="C112" s="309" t="s">
        <v>35</v>
      </c>
      <c r="D112" s="338" t="s">
        <v>36</v>
      </c>
      <c r="E112" s="339" t="s">
        <v>37</v>
      </c>
      <c r="F112" s="339" t="s">
        <v>38</v>
      </c>
      <c r="G112" s="339" t="s">
        <v>39</v>
      </c>
      <c r="H112" s="339" t="s">
        <v>40</v>
      </c>
      <c r="I112" s="339" t="s">
        <v>41</v>
      </c>
      <c r="J112" s="339" t="s">
        <v>42</v>
      </c>
      <c r="K112" s="339" t="s">
        <v>43</v>
      </c>
      <c r="L112" s="339" t="s">
        <v>44</v>
      </c>
      <c r="M112" s="339" t="s">
        <v>176</v>
      </c>
      <c r="N112" s="339" t="s">
        <v>177</v>
      </c>
      <c r="O112" s="339" t="s">
        <v>178</v>
      </c>
      <c r="P112" s="339" t="s">
        <v>179</v>
      </c>
      <c r="Q112" s="339" t="s">
        <v>180</v>
      </c>
      <c r="R112" s="339" t="s">
        <v>181</v>
      </c>
      <c r="S112" s="321"/>
    </row>
    <row r="113" spans="1:19" s="308" customFormat="1" ht="12.75" hidden="1">
      <c r="A113" s="307"/>
      <c r="B113" s="307"/>
      <c r="C113" s="340">
        <f>IF(ISBLANK(F15),"",F15)</f>
        <v>9</v>
      </c>
      <c r="D113" s="341">
        <f>IF(ISBLANK(F16),"",F16)</f>
        <v>9</v>
      </c>
      <c r="E113" s="342">
        <f>IF(ISBLANK(F17),"",F17)</f>
        <v>11</v>
      </c>
      <c r="F113" s="342">
        <f>IF(ISBLANK(F18),"",F18)</f>
        <v>5</v>
      </c>
      <c r="G113" s="342">
        <f>IF(ISBLANK(F19),"",F19)</f>
        <v>12</v>
      </c>
      <c r="H113" s="342">
        <f>IF(ISBLANK(F20),"",F20)</f>
        <v>20</v>
      </c>
      <c r="I113" s="342">
        <f>IF(ISBLANK(F21),"",F21)</f>
      </c>
      <c r="J113" s="342">
        <f>IF(ISBLANK(F22),"",F22)</f>
        <v>18</v>
      </c>
      <c r="K113" s="342">
        <f>IF(ISBLANK(F23),"",F23)</f>
        <v>17</v>
      </c>
      <c r="L113" s="342">
        <f>IF(ISBLANK(F24),"",F24)</f>
        <v>22</v>
      </c>
      <c r="M113" s="342">
        <f>IF(ISBLANK(F25),"",F25)</f>
        <v>12</v>
      </c>
      <c r="N113" s="342">
        <f>IF(ISBLANK(F26),"",F26)</f>
        <v>34</v>
      </c>
      <c r="O113" s="342">
        <f>IF(ISBLANK(F27),"",F27)</f>
      </c>
      <c r="P113" s="342">
        <f>IF(ISBLANK(F28),"",F28)</f>
      </c>
      <c r="Q113" s="342">
        <f>IF(ISBLANK(F29),"",F29)</f>
      </c>
      <c r="R113" s="342">
        <f>IF(ISBLANK(F30),"",F30)</f>
      </c>
      <c r="S113" s="325" t="s">
        <v>46</v>
      </c>
    </row>
    <row r="114" spans="1:19" s="308" customFormat="1" ht="12.75" hidden="1">
      <c r="A114" s="307"/>
      <c r="B114" s="307"/>
      <c r="C114" s="319"/>
      <c r="D114" s="321">
        <f>IF(ISBLANK(F15),"",IF(ISBLANK(F16),"",IF(F16&gt;F15,1,IF(F16&lt;F15,-1,0))))</f>
        <v>0</v>
      </c>
      <c r="E114" s="330">
        <f>IF(ISBLANK(F15),"",IF(ISBLANK(F17),"",IF(F17&gt;F15,1,IF(F17&lt;F15,-1,0))))</f>
        <v>1</v>
      </c>
      <c r="F114" s="330">
        <f>IF(ISBLANK(F15),"",IF(ISBLANK(F18),"",IF(F18&gt;F15,1,IF(F18&lt;F15,-1,0))))</f>
        <v>-1</v>
      </c>
      <c r="G114" s="330">
        <f>IF(ISBLANK(F15),"",IF(ISBLANK(F19),"",IF(F19&gt;F15,1,IF(F19&lt;F15,-1,0))))</f>
        <v>1</v>
      </c>
      <c r="H114" s="330">
        <f>IF(ISBLANK(F15),"",IF(ISBLANK(F20),"",IF(F20&gt;F15,1,IF(F20&lt;F15,-1,0))))</f>
        <v>1</v>
      </c>
      <c r="I114" s="330">
        <f>IF(ISBLANK(F15),"",IF(ISBLANK(F21),"",IF(F21&gt;F15,1,IF(F21&lt;F15,-1,0))))</f>
      </c>
      <c r="J114" s="330">
        <f>IF(ISBLANK(F15),"",IF(ISBLANK(F22),"",IF(F22&gt;F15,1,IF(F22&lt;F15,-1,0))))</f>
        <v>1</v>
      </c>
      <c r="K114" s="330">
        <f>IF(ISBLANK(F15),"",IF(ISBLANK(F23),"",IF(F23&gt;F15,1,IF(F23&lt;F15,-1,0))))</f>
        <v>1</v>
      </c>
      <c r="L114" s="330">
        <f>IF(ISBLANK($F15),"",IF(ISBLANK($F$24),"",IF($F$24&gt;$F15,1,IF($F$24&lt;$F15,-1,0))))</f>
        <v>1</v>
      </c>
      <c r="M114" s="330">
        <f>IF(ISBLANK($F15),"",IF(ISBLANK($F$25),"",IF($F$25&gt;$F15,1,IF($F$25&lt;$F15,-1,0))))</f>
        <v>1</v>
      </c>
      <c r="N114" s="330">
        <f>IF(ISBLANK($F15),"",IF(ISBLANK($F$26),"",IF($F$26&gt;$F15,1,IF($F$26&lt;$F15,-1,0))))</f>
        <v>1</v>
      </c>
      <c r="O114" s="330">
        <f>IF(ISBLANK($F15),"",IF(ISBLANK($F$27),"",IF($F$27&gt;$F15,1,IF($F$27&lt;$F15,-1,0))))</f>
      </c>
      <c r="P114" s="330">
        <f>IF(ISBLANK($F15),"",IF(ISBLANK($F$28),"",IF($F$28&gt;$F15,1,IF($F$28&lt;$F15,-1,0))))</f>
      </c>
      <c r="Q114" s="330">
        <f>IF(ISBLANK($F15),"",IF(ISBLANK($F$29),"",IF($F$29&gt;$F15,1,IF($F$29&lt;$F15,-1,0))))</f>
      </c>
      <c r="R114" s="330">
        <f>IF(ISBLANK($F15),"",IF(ISBLANK($F$30),"",IF($F$30&gt;$F15,1,IF($F$30&lt;$F15,-1,0))))</f>
      </c>
      <c r="S114" s="331">
        <f>SUM(D114:R114)</f>
        <v>7</v>
      </c>
    </row>
    <row r="115" spans="1:19" s="308" customFormat="1" ht="12.75" hidden="1">
      <c r="A115" s="307"/>
      <c r="B115" s="307"/>
      <c r="C115" s="319"/>
      <c r="D115" s="307"/>
      <c r="E115" s="330">
        <f>IF(ISBLANK(F16),"",IF(ISBLANK(F17),"",IF(F17&gt;F16,1,IF(F17&lt;F16,-1,0))))</f>
        <v>1</v>
      </c>
      <c r="F115" s="330">
        <f>IF(ISBLANK(F16),"",IF(ISBLANK(F18),"",IF(F18&gt;F16,1,IF(F18&lt;F16,-1,0))))</f>
        <v>-1</v>
      </c>
      <c r="G115" s="330">
        <f>IF(ISBLANK(F16),"",IF(ISBLANK(F19),"",IF(F19&gt;F16,1,IF(F19&lt;F16,-1,0))))</f>
        <v>1</v>
      </c>
      <c r="H115" s="330">
        <f>IF(ISBLANK(F16),"",IF(ISBLANK(F20),"",IF(F20&gt;F16,1,IF(F20&lt;F16,-1,0))))</f>
        <v>1</v>
      </c>
      <c r="I115" s="330">
        <f>IF(ISBLANK(F16),"",IF(ISBLANK(F21),"",IF(F21&gt;F16,1,IF(F21&lt;F16,-1,0))))</f>
      </c>
      <c r="J115" s="330">
        <f>IF(ISBLANK(F16),"",IF(ISBLANK(F22),"",IF(F22&gt;F16,1,IF(F22&lt;F16,-1,0))))</f>
        <v>1</v>
      </c>
      <c r="K115" s="330">
        <f>IF(ISBLANK(F16),"",IF(ISBLANK(F23),"",IF(F23&gt;F16,1,IF(F23&lt;F16,-1,0))))</f>
        <v>1</v>
      </c>
      <c r="L115" s="330">
        <f>IF(ISBLANK(F16),"",IF(ISBLANK(F24),"",IF(F24&gt;F16,1,IF(F24&lt;F16,-1,0))))</f>
        <v>1</v>
      </c>
      <c r="M115" s="330">
        <f aca="true" t="shared" si="28" ref="M115:M123">IF(ISBLANK($F16),"",IF(ISBLANK($F$25),"",IF($F$25&gt;$F16,1,IF($F$25&lt;$F16,-1,0))))</f>
        <v>1</v>
      </c>
      <c r="N115" s="330">
        <f aca="true" t="shared" si="29" ref="N115:N124">IF(ISBLANK($F16),"",IF(ISBLANK($F$26),"",IF($F$26&gt;$F16,1,IF($F$26&lt;$F16,-1,0))))</f>
        <v>1</v>
      </c>
      <c r="O115" s="330">
        <f aca="true" t="shared" si="30" ref="O115:O125">IF(ISBLANK($F16),"",IF(ISBLANK($F$27),"",IF($F$27&gt;$F16,1,IF($F$27&lt;$F16,-1,0))))</f>
      </c>
      <c r="P115" s="330">
        <f aca="true" t="shared" si="31" ref="P115:P126">IF(ISBLANK($F16),"",IF(ISBLANK($F$28),"",IF($F$28&gt;$F16,1,IF($F$28&lt;$F16,-1,0))))</f>
      </c>
      <c r="Q115" s="330">
        <f aca="true" t="shared" si="32" ref="Q115:Q127">IF(ISBLANK($F16),"",IF(ISBLANK($F$29),"",IF($F$29&gt;$F16,1,IF($F$29&lt;$F16,-1,0))))</f>
      </c>
      <c r="R115" s="330">
        <f aca="true" t="shared" si="33" ref="R115:R128">IF(ISBLANK($F16),"",IF(ISBLANK($F$30),"",IF($F$30&gt;$F16,1,IF($F$30&lt;$F16,-1,0))))</f>
      </c>
      <c r="S115" s="331">
        <f aca="true" t="shared" si="34" ref="S115:S127">SUM(D115:R115)</f>
        <v>7</v>
      </c>
    </row>
    <row r="116" spans="1:19" s="308" customFormat="1" ht="12.75" hidden="1">
      <c r="A116" s="307"/>
      <c r="B116" s="307"/>
      <c r="C116" s="319"/>
      <c r="D116" s="307"/>
      <c r="E116" s="307"/>
      <c r="F116" s="330">
        <f>IF(ISBLANK(F17),"",IF(ISBLANK(F18),"",IF(F18&gt;F17,1,IF(F18&lt;F17,-1,0))))</f>
        <v>-1</v>
      </c>
      <c r="G116" s="330">
        <f>IF(ISBLANK(F17),"",IF(ISBLANK(F19),"",IF(F19&gt;F17,1,IF(F19&lt;F17,-1,0))))</f>
        <v>1</v>
      </c>
      <c r="H116" s="330">
        <f>IF(ISBLANK(F17),"",IF(ISBLANK(F20),"",IF(F20&gt;F17,1,IF(F20&lt;F17,-1,0))))</f>
        <v>1</v>
      </c>
      <c r="I116" s="330">
        <f>IF(ISBLANK(F17),"",IF(ISBLANK(F21),"",IF(F21&gt;F17,1,IF(F21&lt;F17,-1,0))))</f>
      </c>
      <c r="J116" s="330">
        <f>IF(ISBLANK(F17),"",IF(ISBLANK(F22),"",IF(F22&gt;F17,1,IF(F22&lt;F17,-1,0))))</f>
        <v>1</v>
      </c>
      <c r="K116" s="330">
        <f>IF(ISBLANK(F17),"",IF(ISBLANK(F23),"",IF(F23&gt;F17,1,IF(F23&lt;F17,-1,0))))</f>
        <v>1</v>
      </c>
      <c r="L116" s="330">
        <f>IF(ISBLANK(F17),"",IF(ISBLANK(F24),"",IF(F24&gt;F17,1,IF(F24&lt;F17,-1,0))))</f>
        <v>1</v>
      </c>
      <c r="M116" s="330">
        <f t="shared" si="28"/>
        <v>1</v>
      </c>
      <c r="N116" s="330">
        <f t="shared" si="29"/>
        <v>1</v>
      </c>
      <c r="O116" s="330">
        <f t="shared" si="30"/>
      </c>
      <c r="P116" s="330">
        <f t="shared" si="31"/>
      </c>
      <c r="Q116" s="330">
        <f t="shared" si="32"/>
      </c>
      <c r="R116" s="330">
        <f t="shared" si="33"/>
      </c>
      <c r="S116" s="331">
        <f t="shared" si="34"/>
        <v>6</v>
      </c>
    </row>
    <row r="117" spans="1:19" s="308" customFormat="1" ht="12.75" hidden="1">
      <c r="A117" s="307"/>
      <c r="B117" s="307"/>
      <c r="C117" s="319"/>
      <c r="D117" s="307"/>
      <c r="E117" s="307"/>
      <c r="F117" s="307"/>
      <c r="G117" s="330">
        <f>IF(ISBLANK(F18),"",IF(ISBLANK(F19),"",IF(F19&gt;F18,1,IF(F19&lt;F18,-1,0))))</f>
        <v>1</v>
      </c>
      <c r="H117" s="330">
        <f>IF(ISBLANK(F18),"",IF(ISBLANK(F20),"",IF(F20&gt;F18,1,IF(F20&lt;F18,-1,0))))</f>
        <v>1</v>
      </c>
      <c r="I117" s="330">
        <f>IF(ISBLANK(F18),"",IF(ISBLANK(F21),"",IF(F21&gt;F18,1,IF(F21&lt;F18,-1,0))))</f>
      </c>
      <c r="J117" s="330">
        <f>IF(ISBLANK(F18),"",IF(ISBLANK(F22),"",IF(F22&gt;F18,1,IF(F22&lt;F18,-1,0))))</f>
        <v>1</v>
      </c>
      <c r="K117" s="330">
        <f>IF(ISBLANK(F18),"",IF(ISBLANK(F23),"",IF(F23&gt;F18,1,IF(F23&lt;F18,-1,0))))</f>
        <v>1</v>
      </c>
      <c r="L117" s="330">
        <f>IF(ISBLANK(F18),"",IF(ISBLANK(F24),"",IF(F24&gt;F18,1,IF(F24&lt;F18,-1,0))))</f>
        <v>1</v>
      </c>
      <c r="M117" s="330">
        <f t="shared" si="28"/>
        <v>1</v>
      </c>
      <c r="N117" s="330">
        <f t="shared" si="29"/>
        <v>1</v>
      </c>
      <c r="O117" s="330">
        <f t="shared" si="30"/>
      </c>
      <c r="P117" s="330">
        <f t="shared" si="31"/>
      </c>
      <c r="Q117" s="330">
        <f t="shared" si="32"/>
      </c>
      <c r="R117" s="330">
        <f t="shared" si="33"/>
      </c>
      <c r="S117" s="331">
        <f t="shared" si="34"/>
        <v>7</v>
      </c>
    </row>
    <row r="118" spans="1:19" s="308" customFormat="1" ht="12.75" hidden="1">
      <c r="A118" s="307"/>
      <c r="B118" s="307"/>
      <c r="C118" s="319"/>
      <c r="D118" s="307"/>
      <c r="E118" s="307"/>
      <c r="F118" s="307"/>
      <c r="G118" s="307"/>
      <c r="H118" s="330">
        <f>IF(ISBLANK(F19),"",IF(ISBLANK(F20),"",IF(F20&gt;F19,1,IF(F20&lt;F19,-1,0))))</f>
        <v>1</v>
      </c>
      <c r="I118" s="330">
        <f>IF(ISBLANK(F19),"",IF(ISBLANK(F21),"",IF(F21&gt;F19,1,IF(F21&lt;F19,-1,0))))</f>
      </c>
      <c r="J118" s="330">
        <f>IF(ISBLANK(F19),"",IF(ISBLANK(F22),"",IF(F22&gt;F19,1,IF(F22&lt;F19,-1,0))))</f>
        <v>1</v>
      </c>
      <c r="K118" s="330">
        <f>IF(ISBLANK(F19),"",IF(ISBLANK(F23),"",IF(F23&gt;F19,1,IF(F23&lt;F19,-1,0))))</f>
        <v>1</v>
      </c>
      <c r="L118" s="330">
        <f>IF(ISBLANK(F19),"",IF(ISBLANK(F24),"",IF(F24&gt;F19,1,IF(F24&lt;F19,-1,0))))</f>
        <v>1</v>
      </c>
      <c r="M118" s="330">
        <f t="shared" si="28"/>
        <v>0</v>
      </c>
      <c r="N118" s="330">
        <f t="shared" si="29"/>
        <v>1</v>
      </c>
      <c r="O118" s="330">
        <f t="shared" si="30"/>
      </c>
      <c r="P118" s="330">
        <f t="shared" si="31"/>
      </c>
      <c r="Q118" s="330">
        <f t="shared" si="32"/>
      </c>
      <c r="R118" s="330">
        <f t="shared" si="33"/>
      </c>
      <c r="S118" s="331">
        <f t="shared" si="34"/>
        <v>5</v>
      </c>
    </row>
    <row r="119" spans="1:19" s="308" customFormat="1" ht="12.75" hidden="1">
      <c r="A119" s="307"/>
      <c r="B119" s="307"/>
      <c r="C119" s="319"/>
      <c r="D119" s="307"/>
      <c r="E119" s="307"/>
      <c r="F119" s="307"/>
      <c r="G119" s="307"/>
      <c r="H119" s="307"/>
      <c r="I119" s="330">
        <f>IF(ISBLANK(F20),"",IF(ISBLANK(F21),"",IF(F21&gt;F20,1,IF(F21&lt;F20,-1,0))))</f>
      </c>
      <c r="J119" s="330">
        <f>IF(ISBLANK(F20),"",IF(ISBLANK(F22),"",IF(F22&gt;F20,1,IF(F22&lt;F20,-1,0))))</f>
        <v>-1</v>
      </c>
      <c r="K119" s="330">
        <f>IF(ISBLANK(F20),"",IF(ISBLANK(F23),"",IF(F23&gt;F20,1,IF(F23&lt;F20,-1,0))))</f>
        <v>-1</v>
      </c>
      <c r="L119" s="330">
        <f>IF(ISBLANK(F20),"",IF(ISBLANK(F24),"",IF(F24&gt;F20,1,IF(F24&lt;F20,-1,0))))</f>
        <v>1</v>
      </c>
      <c r="M119" s="330">
        <f t="shared" si="28"/>
        <v>-1</v>
      </c>
      <c r="N119" s="330">
        <f t="shared" si="29"/>
        <v>1</v>
      </c>
      <c r="O119" s="330">
        <f t="shared" si="30"/>
      </c>
      <c r="P119" s="330">
        <f t="shared" si="31"/>
      </c>
      <c r="Q119" s="330">
        <f t="shared" si="32"/>
      </c>
      <c r="R119" s="330">
        <f t="shared" si="33"/>
      </c>
      <c r="S119" s="331">
        <f t="shared" si="34"/>
        <v>-1</v>
      </c>
    </row>
    <row r="120" spans="1:19" s="308" customFormat="1" ht="12.75" hidden="1">
      <c r="A120" s="307"/>
      <c r="B120" s="307"/>
      <c r="C120" s="319"/>
      <c r="D120" s="307"/>
      <c r="E120" s="307"/>
      <c r="F120" s="307"/>
      <c r="G120" s="307"/>
      <c r="H120" s="307"/>
      <c r="I120" s="307"/>
      <c r="J120" s="330">
        <f>IF(ISBLANK(F21),"",IF(ISBLANK(F22),"",IF(F22&gt;F21,1,IF(F22&lt;F21,-1,0))))</f>
      </c>
      <c r="K120" s="330">
        <f>IF(ISBLANK(F21),"",IF(ISBLANK(F23),"",IF(F23&gt;F21,1,IF(F23&lt;F21,-1,0))))</f>
      </c>
      <c r="L120" s="330">
        <f>IF(ISBLANK(F21),"",IF(ISBLANK(F24),"",IF(F24&gt;F21,1,IF(F24&lt;F21,-1,0))))</f>
      </c>
      <c r="M120" s="330">
        <f t="shared" si="28"/>
      </c>
      <c r="N120" s="330">
        <f t="shared" si="29"/>
      </c>
      <c r="O120" s="330">
        <f t="shared" si="30"/>
      </c>
      <c r="P120" s="330">
        <f t="shared" si="31"/>
      </c>
      <c r="Q120" s="330">
        <f t="shared" si="32"/>
      </c>
      <c r="R120" s="330">
        <f t="shared" si="33"/>
      </c>
      <c r="S120" s="331">
        <f t="shared" si="34"/>
        <v>0</v>
      </c>
    </row>
    <row r="121" spans="1:19" s="308" customFormat="1" ht="12.75" hidden="1">
      <c r="A121" s="307"/>
      <c r="B121" s="307"/>
      <c r="C121" s="319"/>
      <c r="D121" s="307"/>
      <c r="E121" s="307"/>
      <c r="F121" s="307"/>
      <c r="G121" s="307"/>
      <c r="H121" s="307"/>
      <c r="I121" s="307"/>
      <c r="J121" s="307"/>
      <c r="K121" s="330">
        <f>IF(ISBLANK(F22),"",IF(ISBLANK(F23),"",IF(F23&gt;F22,1,IF(F23&lt;F22,-1,0))))</f>
        <v>-1</v>
      </c>
      <c r="L121" s="330">
        <f>IF(ISBLANK(F22),"",IF(ISBLANK(F24),"",IF(F24&gt;F22,1,IF(F24&lt;F22,-1,0))))</f>
        <v>1</v>
      </c>
      <c r="M121" s="330">
        <f t="shared" si="28"/>
        <v>-1</v>
      </c>
      <c r="N121" s="330">
        <f t="shared" si="29"/>
        <v>1</v>
      </c>
      <c r="O121" s="330">
        <f t="shared" si="30"/>
      </c>
      <c r="P121" s="330">
        <f t="shared" si="31"/>
      </c>
      <c r="Q121" s="330">
        <f t="shared" si="32"/>
      </c>
      <c r="R121" s="330">
        <f t="shared" si="33"/>
      </c>
      <c r="S121" s="331">
        <f t="shared" si="34"/>
        <v>0</v>
      </c>
    </row>
    <row r="122" spans="1:19" s="308" customFormat="1" ht="12.75" hidden="1">
      <c r="A122" s="307"/>
      <c r="B122" s="307"/>
      <c r="C122" s="319"/>
      <c r="D122" s="307"/>
      <c r="E122" s="307"/>
      <c r="F122" s="307"/>
      <c r="G122" s="307"/>
      <c r="H122" s="307"/>
      <c r="I122" s="307"/>
      <c r="J122" s="307"/>
      <c r="K122" s="307"/>
      <c r="L122" s="330">
        <f>IF(ISBLANK(F23),"",IF(ISBLANK(F24),"",IF(F24&gt;F23,1,IF(F24&lt;F23,-1,0))))</f>
        <v>1</v>
      </c>
      <c r="M122" s="330">
        <f t="shared" si="28"/>
        <v>-1</v>
      </c>
      <c r="N122" s="330">
        <f t="shared" si="29"/>
        <v>1</v>
      </c>
      <c r="O122" s="330">
        <f t="shared" si="30"/>
      </c>
      <c r="P122" s="330">
        <f t="shared" si="31"/>
      </c>
      <c r="Q122" s="330">
        <f t="shared" si="32"/>
      </c>
      <c r="R122" s="330">
        <f t="shared" si="33"/>
      </c>
      <c r="S122" s="331">
        <f t="shared" si="34"/>
        <v>1</v>
      </c>
    </row>
    <row r="123" spans="1:19" s="308" customFormat="1" ht="12.75" hidden="1">
      <c r="A123" s="307"/>
      <c r="B123" s="307"/>
      <c r="C123" s="319"/>
      <c r="D123" s="307"/>
      <c r="E123" s="307"/>
      <c r="F123" s="307"/>
      <c r="G123" s="307"/>
      <c r="H123" s="307"/>
      <c r="I123" s="307"/>
      <c r="J123" s="307"/>
      <c r="K123" s="307"/>
      <c r="L123" s="307"/>
      <c r="M123" s="330">
        <f t="shared" si="28"/>
        <v>-1</v>
      </c>
      <c r="N123" s="330">
        <f t="shared" si="29"/>
        <v>1</v>
      </c>
      <c r="O123" s="330">
        <f t="shared" si="30"/>
      </c>
      <c r="P123" s="330">
        <f t="shared" si="31"/>
      </c>
      <c r="Q123" s="330">
        <f t="shared" si="32"/>
      </c>
      <c r="R123" s="330">
        <f t="shared" si="33"/>
      </c>
      <c r="S123" s="331">
        <f t="shared" si="34"/>
        <v>0</v>
      </c>
    </row>
    <row r="124" spans="1:19" s="308" customFormat="1" ht="12.75" hidden="1">
      <c r="A124" s="307"/>
      <c r="B124" s="307"/>
      <c r="C124" s="319"/>
      <c r="D124" s="307"/>
      <c r="E124" s="307"/>
      <c r="F124" s="307"/>
      <c r="G124" s="307"/>
      <c r="H124" s="307"/>
      <c r="I124" s="307"/>
      <c r="J124" s="307"/>
      <c r="K124" s="307"/>
      <c r="L124" s="307"/>
      <c r="M124" s="330"/>
      <c r="N124" s="330">
        <f t="shared" si="29"/>
        <v>1</v>
      </c>
      <c r="O124" s="330">
        <f t="shared" si="30"/>
      </c>
      <c r="P124" s="330">
        <f t="shared" si="31"/>
      </c>
      <c r="Q124" s="330">
        <f t="shared" si="32"/>
      </c>
      <c r="R124" s="330">
        <f t="shared" si="33"/>
      </c>
      <c r="S124" s="331">
        <f t="shared" si="34"/>
        <v>1</v>
      </c>
    </row>
    <row r="125" spans="1:19" s="308" customFormat="1" ht="12.75" hidden="1">
      <c r="A125" s="307"/>
      <c r="B125" s="307"/>
      <c r="C125" s="319"/>
      <c r="D125" s="307"/>
      <c r="E125" s="307"/>
      <c r="F125" s="307"/>
      <c r="G125" s="307"/>
      <c r="H125" s="307"/>
      <c r="I125" s="307"/>
      <c r="J125" s="307"/>
      <c r="K125" s="307"/>
      <c r="L125" s="307"/>
      <c r="M125" s="330"/>
      <c r="N125" s="330"/>
      <c r="O125" s="330">
        <f t="shared" si="30"/>
      </c>
      <c r="P125" s="330">
        <f t="shared" si="31"/>
      </c>
      <c r="Q125" s="330">
        <f t="shared" si="32"/>
      </c>
      <c r="R125" s="330">
        <f t="shared" si="33"/>
      </c>
      <c r="S125" s="331">
        <f>SUM(D125:R125)</f>
        <v>0</v>
      </c>
    </row>
    <row r="126" spans="1:19" s="308" customFormat="1" ht="12.75" hidden="1">
      <c r="A126" s="307"/>
      <c r="B126" s="307"/>
      <c r="C126" s="319"/>
      <c r="D126" s="307"/>
      <c r="E126" s="307"/>
      <c r="F126" s="307"/>
      <c r="G126" s="307"/>
      <c r="H126" s="307"/>
      <c r="I126" s="307"/>
      <c r="J126" s="307"/>
      <c r="K126" s="307"/>
      <c r="L126" s="307"/>
      <c r="M126" s="330"/>
      <c r="N126" s="330"/>
      <c r="O126" s="330"/>
      <c r="P126" s="330">
        <f t="shared" si="31"/>
      </c>
      <c r="Q126" s="330">
        <f t="shared" si="32"/>
      </c>
      <c r="R126" s="330">
        <f t="shared" si="33"/>
      </c>
      <c r="S126" s="331">
        <f t="shared" si="34"/>
        <v>0</v>
      </c>
    </row>
    <row r="127" spans="1:19" s="308" customFormat="1" ht="12.75" hidden="1">
      <c r="A127" s="307"/>
      <c r="B127" s="307"/>
      <c r="C127" s="319"/>
      <c r="D127" s="307"/>
      <c r="E127" s="307"/>
      <c r="F127" s="307"/>
      <c r="G127" s="307"/>
      <c r="H127" s="307"/>
      <c r="I127" s="307"/>
      <c r="J127" s="307"/>
      <c r="K127" s="307"/>
      <c r="L127" s="307"/>
      <c r="M127" s="330"/>
      <c r="N127" s="330"/>
      <c r="O127" s="330"/>
      <c r="P127" s="330"/>
      <c r="Q127" s="330">
        <f t="shared" si="32"/>
      </c>
      <c r="R127" s="330">
        <f t="shared" si="33"/>
      </c>
      <c r="S127" s="331">
        <f t="shared" si="34"/>
        <v>0</v>
      </c>
    </row>
    <row r="128" spans="1:19" s="308" customFormat="1" ht="13.5" hidden="1" thickBot="1">
      <c r="A128" s="307"/>
      <c r="B128" s="307"/>
      <c r="C128" s="332"/>
      <c r="D128" s="333"/>
      <c r="E128" s="333"/>
      <c r="F128" s="333"/>
      <c r="G128" s="333"/>
      <c r="H128" s="333"/>
      <c r="I128" s="333"/>
      <c r="J128" s="333"/>
      <c r="K128" s="333"/>
      <c r="L128" s="333"/>
      <c r="M128" s="334"/>
      <c r="N128" s="334"/>
      <c r="O128" s="334"/>
      <c r="P128" s="334"/>
      <c r="Q128" s="334"/>
      <c r="R128" s="334">
        <f t="shared" si="33"/>
      </c>
      <c r="S128" s="335">
        <f>SUM(D128:R128)</f>
        <v>0</v>
      </c>
    </row>
    <row r="129" spans="1:19" s="308" customFormat="1" ht="12.75" hidden="1">
      <c r="A129" s="307"/>
      <c r="B129" s="307"/>
      <c r="C129" s="307"/>
      <c r="D129" s="307"/>
      <c r="E129" s="307"/>
      <c r="F129" s="307"/>
      <c r="G129" s="307"/>
      <c r="H129" s="307"/>
      <c r="I129" s="307"/>
      <c r="J129" s="336" t="s">
        <v>58</v>
      </c>
      <c r="K129" s="336"/>
      <c r="L129" s="307"/>
      <c r="M129" s="307"/>
      <c r="N129" s="307"/>
      <c r="O129" s="307"/>
      <c r="P129" s="307"/>
      <c r="Q129" s="307"/>
      <c r="R129" s="307"/>
      <c r="S129" s="321">
        <f>SUM(S114:S128)</f>
        <v>33</v>
      </c>
    </row>
    <row r="130" spans="1:19" s="308" customFormat="1" ht="12.75" hidden="1">
      <c r="A130" s="307"/>
      <c r="B130" s="307"/>
      <c r="C130" s="307"/>
      <c r="D130" s="307"/>
      <c r="E130" s="307"/>
      <c r="F130" s="307"/>
      <c r="G130" s="307"/>
      <c r="H130" s="307"/>
      <c r="I130" s="307"/>
      <c r="J130" s="307"/>
      <c r="K130" s="307"/>
      <c r="L130" s="307"/>
      <c r="M130" s="307"/>
      <c r="N130" s="307"/>
      <c r="O130" s="307"/>
      <c r="P130" s="307"/>
      <c r="Q130" s="307"/>
      <c r="R130" s="307"/>
      <c r="S130" s="307"/>
    </row>
    <row r="131" spans="1:19" s="308" customFormat="1" ht="13.5" hidden="1" thickBot="1">
      <c r="A131" s="307"/>
      <c r="B131" s="307"/>
      <c r="C131" s="343" t="str">
        <f>+G14</f>
        <v>Xylenes</v>
      </c>
      <c r="D131" s="309"/>
      <c r="E131" s="309" t="s">
        <v>30</v>
      </c>
      <c r="F131" s="307">
        <f>$C$13</f>
        <v>0</v>
      </c>
      <c r="G131" s="307"/>
      <c r="H131" s="309"/>
      <c r="I131" s="309" t="s">
        <v>31</v>
      </c>
      <c r="J131" s="307">
        <f>$G$13</f>
        <v>0</v>
      </c>
      <c r="K131" s="309"/>
      <c r="L131" s="307" t="s">
        <v>32</v>
      </c>
      <c r="M131" s="307">
        <v>24</v>
      </c>
      <c r="N131" s="307">
        <v>25</v>
      </c>
      <c r="O131" s="307">
        <v>26</v>
      </c>
      <c r="P131" s="307">
        <v>27</v>
      </c>
      <c r="Q131" s="307">
        <v>28</v>
      </c>
      <c r="R131" s="307">
        <v>29</v>
      </c>
      <c r="S131" s="321">
        <f>$I$13</f>
        <v>0</v>
      </c>
    </row>
    <row r="132" spans="1:19" s="308" customFormat="1" ht="12.75" hidden="1">
      <c r="A132" s="307"/>
      <c r="B132" s="307"/>
      <c r="C132" s="309" t="s">
        <v>35</v>
      </c>
      <c r="D132" s="338" t="s">
        <v>36</v>
      </c>
      <c r="E132" s="339" t="s">
        <v>37</v>
      </c>
      <c r="F132" s="339" t="s">
        <v>38</v>
      </c>
      <c r="G132" s="339" t="s">
        <v>39</v>
      </c>
      <c r="H132" s="339" t="s">
        <v>40</v>
      </c>
      <c r="I132" s="339" t="s">
        <v>41</v>
      </c>
      <c r="J132" s="339" t="s">
        <v>42</v>
      </c>
      <c r="K132" s="339" t="s">
        <v>43</v>
      </c>
      <c r="L132" s="339" t="s">
        <v>44</v>
      </c>
      <c r="M132" s="339" t="s">
        <v>176</v>
      </c>
      <c r="N132" s="339" t="s">
        <v>177</v>
      </c>
      <c r="O132" s="339" t="s">
        <v>178</v>
      </c>
      <c r="P132" s="339" t="s">
        <v>179</v>
      </c>
      <c r="Q132" s="339" t="s">
        <v>180</v>
      </c>
      <c r="R132" s="339" t="s">
        <v>181</v>
      </c>
      <c r="S132" s="321"/>
    </row>
    <row r="133" spans="1:19" s="308" customFormat="1" ht="12.75" hidden="1">
      <c r="A133" s="307"/>
      <c r="B133" s="307"/>
      <c r="C133" s="340">
        <f>IF(ISBLANK(G15),"",G15)</f>
        <v>150</v>
      </c>
      <c r="D133" s="341">
        <f>IF(ISBLANK(G16),"",G16)</f>
        <v>140</v>
      </c>
      <c r="E133" s="342">
        <f>IF(ISBLANK(G17),"",G17)</f>
        <v>270</v>
      </c>
      <c r="F133" s="342">
        <f>IF(ISBLANK(G18),"",G18)</f>
        <v>740</v>
      </c>
      <c r="G133" s="342">
        <f>IF(ISBLANK(G19),"",G19)</f>
        <v>290</v>
      </c>
      <c r="H133" s="342">
        <f>IF(ISBLANK(G20),"",G20)</f>
        <v>92</v>
      </c>
      <c r="I133" s="342">
        <f>IF(ISBLANK(G21),"",G21)</f>
        <v>25</v>
      </c>
      <c r="J133" s="342">
        <f>IF(ISBLANK(G22),"",G22)</f>
        <v>890</v>
      </c>
      <c r="K133" s="342">
        <f>IF(ISBLANK(G23),"",G23)</f>
        <v>450</v>
      </c>
      <c r="L133" s="342">
        <f>IF(ISBLANK(G24),"",G24)</f>
        <v>480</v>
      </c>
      <c r="M133" s="342">
        <f>IF(ISBLANK(G25),"",G25)</f>
      </c>
      <c r="N133" s="342">
        <f>IF(ISBLANK(G26),"",G26)</f>
      </c>
      <c r="O133" s="342">
        <f>IF(ISBLANK(G27),"",G27)</f>
      </c>
      <c r="P133" s="342">
        <f>IF(ISBLANK(G28),"",G28)</f>
      </c>
      <c r="Q133" s="342">
        <f>IF(ISBLANK(G29),"",G29)</f>
      </c>
      <c r="R133" s="342">
        <f>IF(ISBLANK(G30),"",G30)</f>
      </c>
      <c r="S133" s="325" t="s">
        <v>46</v>
      </c>
    </row>
    <row r="134" spans="1:19" s="308" customFormat="1" ht="12.75" hidden="1">
      <c r="A134" s="307"/>
      <c r="B134" s="307"/>
      <c r="C134" s="319"/>
      <c r="D134" s="321">
        <f>IF(ISBLANK(G15),"",IF(ISBLANK(G16),"",IF(G16&gt;G15,1,IF(G16&lt;G15,-1,0))))</f>
        <v>-1</v>
      </c>
      <c r="E134" s="330">
        <f>IF(ISBLANK(G15),"",IF(ISBLANK(G17),"",IF(G17&gt;G15,1,IF(G17&lt;G15,-1,0))))</f>
        <v>1</v>
      </c>
      <c r="F134" s="330">
        <f>IF(ISBLANK(G15),"",IF(ISBLANK(G18),"",IF(G18&gt;G15,1,IF(G18&lt;G15,-1,0))))</f>
        <v>1</v>
      </c>
      <c r="G134" s="330">
        <f>IF(ISBLANK(G15),"",IF(ISBLANK(G19),"",IF(G19&gt;G15,1,IF(G19&lt;G15,-1,0))))</f>
        <v>1</v>
      </c>
      <c r="H134" s="330">
        <f>IF(ISBLANK(G15),"",IF(ISBLANK(G20),"",IF(G20&gt;G15,1,IF(G20&lt;G15,-1,0))))</f>
        <v>-1</v>
      </c>
      <c r="I134" s="330">
        <f>IF(ISBLANK(G15),"",IF(ISBLANK(G21),"",IF(G21&gt;G15,1,IF(G21&lt;G15,-1,0))))</f>
        <v>-1</v>
      </c>
      <c r="J134" s="330">
        <f>IF(ISBLANK(G15),"",IF(ISBLANK(G22),"",IF(G22&gt;G15,1,IF(G22&lt;G15,-1,0))))</f>
        <v>1</v>
      </c>
      <c r="K134" s="330">
        <f>IF(ISBLANK(G15),"",IF(ISBLANK(G23),"",IF(G23&gt;G15,1,IF(G23&lt;G15,-1,0))))</f>
        <v>1</v>
      </c>
      <c r="L134" s="330">
        <f>IF(ISBLANK($G15),"",IF(ISBLANK($G$24),"",IF($G$24&gt;$G15,1,IF($G$24&lt;$G15,-1,0))))</f>
        <v>1</v>
      </c>
      <c r="M134" s="330">
        <f>IF(ISBLANK($G15),"",IF(ISBLANK($G$25),"",IF($G$25&gt;$G15,1,IF($G$25&lt;$G15,-1,0))))</f>
      </c>
      <c r="N134" s="330">
        <f>IF(ISBLANK($G15),"",IF(ISBLANK($G$26),"",IF($G$26&gt;$G15,1,IF($G$26&lt;$G15,-1,0))))</f>
      </c>
      <c r="O134" s="330">
        <f>IF(ISBLANK($G15),"",IF(ISBLANK($G$27),"",IF($G$27&gt;$G15,1,IF($G$27&lt;$G15,-1,0))))</f>
      </c>
      <c r="P134" s="330">
        <f>IF(ISBLANK($G15),"",IF(ISBLANK($G$28),"",IF($G$28&gt;$G15,1,IF($G$28&lt;$G15,-1,0))))</f>
      </c>
      <c r="Q134" s="330">
        <f>IF(ISBLANK($G15),"",IF(ISBLANK($G$29),"",IF($G$29&gt;$G15,1,IF($G$29&lt;$G15,-1,0))))</f>
      </c>
      <c r="R134" s="330">
        <f>IF(ISBLANK($G15),"",IF(ISBLANK($G$30),"",IF($G$30&gt;$G15,1,IF($G$30&lt;$G15,-1,0))))</f>
      </c>
      <c r="S134" s="331">
        <f>SUM(D134:R134)</f>
        <v>3</v>
      </c>
    </row>
    <row r="135" spans="1:19" s="308" customFormat="1" ht="12.75" hidden="1">
      <c r="A135" s="307"/>
      <c r="B135" s="307"/>
      <c r="C135" s="319"/>
      <c r="D135" s="307"/>
      <c r="E135" s="330">
        <f>IF(ISBLANK(G16),"",IF(ISBLANK(G17),"",IF(G17&gt;G16,1,IF(G17&lt;G16,-1,0))))</f>
        <v>1</v>
      </c>
      <c r="F135" s="330">
        <f>IF(ISBLANK(G16),"",IF(ISBLANK(G18),"",IF(G18&gt;G16,1,IF(G18&lt;G16,-1,0))))</f>
        <v>1</v>
      </c>
      <c r="G135" s="330">
        <f>IF(ISBLANK(G16),"",IF(ISBLANK(G19),"",IF(G19&gt;G16,1,IF(G19&lt;G16,-1,0))))</f>
        <v>1</v>
      </c>
      <c r="H135" s="330">
        <f>IF(ISBLANK(G16),"",IF(ISBLANK(G20),"",IF(G20&gt;G16,1,IF(G20&lt;G16,-1,0))))</f>
        <v>-1</v>
      </c>
      <c r="I135" s="330">
        <f>IF(ISBLANK(G16),"",IF(ISBLANK(G21),"",IF(G21&gt;G16,1,IF(G21&lt;G16,-1,0))))</f>
        <v>-1</v>
      </c>
      <c r="J135" s="330">
        <f>IF(ISBLANK(G16),"",IF(ISBLANK(G22),"",IF(G22&gt;G16,1,IF(G22&lt;G16,-1,0))))</f>
        <v>1</v>
      </c>
      <c r="K135" s="330">
        <f>IF(ISBLANK(G16),"",IF(ISBLANK(G23),"",IF(G23&gt;G16,1,IF(G23&lt;G16,-1,0))))</f>
        <v>1</v>
      </c>
      <c r="L135" s="330">
        <f>IF(ISBLANK(G16),"",IF(ISBLANK(G24),"",IF(G24&gt;G16,1,IF(G24&lt;G16,-1,0))))</f>
        <v>1</v>
      </c>
      <c r="M135" s="330">
        <f aca="true" t="shared" si="35" ref="M135:M143">IF(ISBLANK($G16),"",IF(ISBLANK($G$25),"",IF($G$25&gt;$G16,1,IF($G$25&lt;$G16,-1,0))))</f>
      </c>
      <c r="N135" s="330">
        <f aca="true" t="shared" si="36" ref="N135:N144">IF(ISBLANK($G16),"",IF(ISBLANK($G$26),"",IF($G$26&gt;$G16,1,IF($G$26&lt;$G16,-1,0))))</f>
      </c>
      <c r="O135" s="330">
        <f aca="true" t="shared" si="37" ref="O135:O145">IF(ISBLANK($G16),"",IF(ISBLANK($G$27),"",IF($G$27&gt;$G16,1,IF($G$27&lt;$G16,-1,0))))</f>
      </c>
      <c r="P135" s="330">
        <f aca="true" t="shared" si="38" ref="P135:P146">IF(ISBLANK($G16),"",IF(ISBLANK($G$28),"",IF($G$28&gt;$G16,1,IF($G$28&lt;$G16,-1,0))))</f>
      </c>
      <c r="Q135" s="330">
        <f aca="true" t="shared" si="39" ref="Q135:Q147">IF(ISBLANK($G16),"",IF(ISBLANK($G$29),"",IF($G$29&gt;$G16,1,IF($G$29&lt;$G16,-1,0))))</f>
      </c>
      <c r="R135" s="330">
        <f aca="true" t="shared" si="40" ref="R135:R148">IF(ISBLANK($G16),"",IF(ISBLANK($G$30),"",IF($G$30&gt;$G16,1,IF($G$30&lt;$G16,-1,0))))</f>
      </c>
      <c r="S135" s="331">
        <f aca="true" t="shared" si="41" ref="S135:S148">SUM(D135:R135)</f>
        <v>4</v>
      </c>
    </row>
    <row r="136" spans="1:19" s="308" customFormat="1" ht="12.75" hidden="1">
      <c r="A136" s="307"/>
      <c r="B136" s="307"/>
      <c r="C136" s="319"/>
      <c r="D136" s="307"/>
      <c r="E136" s="307"/>
      <c r="F136" s="330">
        <f>IF(ISBLANK(G17),"",IF(ISBLANK(G18),"",IF(G18&gt;G17,1,IF(G18&lt;G17,-1,0))))</f>
        <v>1</v>
      </c>
      <c r="G136" s="330">
        <f>IF(ISBLANK(G17),"",IF(ISBLANK(G19),"",IF(G19&gt;G17,1,IF(G19&lt;G17,-1,0))))</f>
        <v>1</v>
      </c>
      <c r="H136" s="330">
        <f>IF(ISBLANK(G17),"",IF(ISBLANK(G20),"",IF(G20&gt;G17,1,IF(G20&lt;G17,-1,0))))</f>
        <v>-1</v>
      </c>
      <c r="I136" s="330">
        <f>IF(ISBLANK(G17),"",IF(ISBLANK(G21),"",IF(G21&gt;G17,1,IF(G21&lt;G17,-1,0))))</f>
        <v>-1</v>
      </c>
      <c r="J136" s="330">
        <f>IF(ISBLANK(G17),"",IF(ISBLANK(G22),"",IF(G22&gt;G17,1,IF(G22&lt;G17,-1,0))))</f>
        <v>1</v>
      </c>
      <c r="K136" s="330">
        <f>IF(ISBLANK(G17),"",IF(ISBLANK(G23),"",IF(G23&gt;G17,1,IF(G23&lt;G17,-1,0))))</f>
        <v>1</v>
      </c>
      <c r="L136" s="330">
        <f>IF(ISBLANK(G17),"",IF(ISBLANK(G24),"",IF(G24&gt;G17,1,IF(G24&lt;G17,-1,0))))</f>
        <v>1</v>
      </c>
      <c r="M136" s="330">
        <f t="shared" si="35"/>
      </c>
      <c r="N136" s="330">
        <f t="shared" si="36"/>
      </c>
      <c r="O136" s="330">
        <f t="shared" si="37"/>
      </c>
      <c r="P136" s="330">
        <f t="shared" si="38"/>
      </c>
      <c r="Q136" s="330">
        <f t="shared" si="39"/>
      </c>
      <c r="R136" s="330">
        <f t="shared" si="40"/>
      </c>
      <c r="S136" s="331">
        <f t="shared" si="41"/>
        <v>3</v>
      </c>
    </row>
    <row r="137" spans="1:19" s="308" customFormat="1" ht="12.75" hidden="1">
      <c r="A137" s="307"/>
      <c r="B137" s="307"/>
      <c r="C137" s="319"/>
      <c r="D137" s="307"/>
      <c r="E137" s="307"/>
      <c r="F137" s="307"/>
      <c r="G137" s="330">
        <f>IF(ISBLANK(G18),"",IF(ISBLANK(G19),"",IF(G19&gt;G18,1,IF(G19&lt;G18,-1,0))))</f>
        <v>-1</v>
      </c>
      <c r="H137" s="330">
        <f>IF(ISBLANK(G18),"",IF(ISBLANK(G20),"",IF(G20&gt;G18,1,IF(G20&lt;G18,-1,0))))</f>
        <v>-1</v>
      </c>
      <c r="I137" s="330">
        <f>IF(ISBLANK(G18),"",IF(ISBLANK(G21),"",IF(G21&gt;G18,1,IF(G21&lt;G18,-1,0))))</f>
        <v>-1</v>
      </c>
      <c r="J137" s="330">
        <f>IF(ISBLANK(G18),"",IF(ISBLANK(G22),"",IF(G22&gt;G18,1,IF(G22&lt;G18,-1,0))))</f>
        <v>1</v>
      </c>
      <c r="K137" s="330">
        <f>IF(ISBLANK(G18),"",IF(ISBLANK(G23),"",IF(G23&gt;G18,1,IF(G23&lt;G18,-1,0))))</f>
        <v>-1</v>
      </c>
      <c r="L137" s="330">
        <f>IF(ISBLANK(G18),"",IF(ISBLANK(G24),"",IF(G24&gt;G18,1,IF(G24&lt;G18,-1,0))))</f>
        <v>-1</v>
      </c>
      <c r="M137" s="330">
        <f t="shared" si="35"/>
      </c>
      <c r="N137" s="330">
        <f t="shared" si="36"/>
      </c>
      <c r="O137" s="330">
        <f t="shared" si="37"/>
      </c>
      <c r="P137" s="330">
        <f t="shared" si="38"/>
      </c>
      <c r="Q137" s="330">
        <f t="shared" si="39"/>
      </c>
      <c r="R137" s="330">
        <f t="shared" si="40"/>
      </c>
      <c r="S137" s="331">
        <f t="shared" si="41"/>
        <v>-4</v>
      </c>
    </row>
    <row r="138" spans="1:19" s="308" customFormat="1" ht="12.75" hidden="1">
      <c r="A138" s="307"/>
      <c r="B138" s="307"/>
      <c r="C138" s="319"/>
      <c r="D138" s="307"/>
      <c r="E138" s="307"/>
      <c r="F138" s="307"/>
      <c r="G138" s="307"/>
      <c r="H138" s="330">
        <f>IF(ISBLANK(G19),"",IF(ISBLANK(G20),"",IF(G20&gt;G19,1,IF(G20&lt;G19,-1,0))))</f>
        <v>-1</v>
      </c>
      <c r="I138" s="330">
        <f>IF(ISBLANK(G19),"",IF(ISBLANK(G21),"",IF(G21&gt;G19,1,IF(G21&lt;G19,-1,0))))</f>
        <v>-1</v>
      </c>
      <c r="J138" s="330">
        <f>IF(ISBLANK(G19),"",IF(ISBLANK(G22),"",IF(G22&gt;G19,1,IF(G22&lt;G19,-1,0))))</f>
        <v>1</v>
      </c>
      <c r="K138" s="330">
        <f>IF(ISBLANK(G19),"",IF(ISBLANK(G23),"",IF(G23&gt;G19,1,IF(G23&lt;G19,-1,0))))</f>
        <v>1</v>
      </c>
      <c r="L138" s="330">
        <f>IF(ISBLANK(G19),"",IF(ISBLANK(G24),"",IF(G24&gt;G19,1,IF(G24&lt;G19,-1,0))))</f>
        <v>1</v>
      </c>
      <c r="M138" s="330">
        <f t="shared" si="35"/>
      </c>
      <c r="N138" s="330">
        <f t="shared" si="36"/>
      </c>
      <c r="O138" s="330">
        <f t="shared" si="37"/>
      </c>
      <c r="P138" s="330">
        <f t="shared" si="38"/>
      </c>
      <c r="Q138" s="330">
        <f t="shared" si="39"/>
      </c>
      <c r="R138" s="330">
        <f t="shared" si="40"/>
      </c>
      <c r="S138" s="331">
        <f t="shared" si="41"/>
        <v>1</v>
      </c>
    </row>
    <row r="139" spans="1:19" s="308" customFormat="1" ht="12.75" hidden="1">
      <c r="A139" s="307"/>
      <c r="B139" s="307"/>
      <c r="C139" s="319"/>
      <c r="D139" s="307"/>
      <c r="E139" s="307"/>
      <c r="F139" s="307"/>
      <c r="G139" s="307"/>
      <c r="H139" s="307"/>
      <c r="I139" s="330">
        <f>IF(ISBLANK(G20),"",IF(ISBLANK(G21),"",IF(G21&gt;G20,1,IF(G21&lt;G20,-1,0))))</f>
        <v>-1</v>
      </c>
      <c r="J139" s="330">
        <f>IF(ISBLANK(G20),"",IF(ISBLANK(G22),"",IF(G22&gt;G20,1,IF(G22&lt;G20,-1,0))))</f>
        <v>1</v>
      </c>
      <c r="K139" s="330">
        <f>IF(ISBLANK(G20),"",IF(ISBLANK(G23),"",IF(G23&gt;G20,1,IF(G23&lt;G20,-1,0))))</f>
        <v>1</v>
      </c>
      <c r="L139" s="330">
        <f>IF(ISBLANK(G20),"",IF(ISBLANK(G24),"",IF(G24&gt;G20,1,IF(G24&lt;G20,-1,0))))</f>
        <v>1</v>
      </c>
      <c r="M139" s="330">
        <f t="shared" si="35"/>
      </c>
      <c r="N139" s="330">
        <f t="shared" si="36"/>
      </c>
      <c r="O139" s="330">
        <f t="shared" si="37"/>
      </c>
      <c r="P139" s="330">
        <f t="shared" si="38"/>
      </c>
      <c r="Q139" s="330">
        <f t="shared" si="39"/>
      </c>
      <c r="R139" s="330">
        <f t="shared" si="40"/>
      </c>
      <c r="S139" s="331">
        <f t="shared" si="41"/>
        <v>2</v>
      </c>
    </row>
    <row r="140" spans="1:19" s="308" customFormat="1" ht="12.75" hidden="1">
      <c r="A140" s="307"/>
      <c r="B140" s="307"/>
      <c r="C140" s="319"/>
      <c r="D140" s="307"/>
      <c r="E140" s="307"/>
      <c r="F140" s="307"/>
      <c r="G140" s="307"/>
      <c r="H140" s="307"/>
      <c r="I140" s="307"/>
      <c r="J140" s="330">
        <f>IF(ISBLANK(G21),"",IF(ISBLANK(G22),"",IF(G22&gt;G21,1,IF(G22&lt;G21,-1,0))))</f>
        <v>1</v>
      </c>
      <c r="K140" s="330">
        <f>IF(ISBLANK(G21),"",IF(ISBLANK(G23),"",IF(G23&gt;G21,1,IF(G23&lt;G21,-1,0))))</f>
        <v>1</v>
      </c>
      <c r="L140" s="330">
        <f>IF(ISBLANK(G21),"",IF(ISBLANK(G24),"",IF(G24&gt;G21,1,IF(G24&lt;G21,-1,0))))</f>
        <v>1</v>
      </c>
      <c r="M140" s="330">
        <f t="shared" si="35"/>
      </c>
      <c r="N140" s="330">
        <f t="shared" si="36"/>
      </c>
      <c r="O140" s="330">
        <f t="shared" si="37"/>
      </c>
      <c r="P140" s="330">
        <f t="shared" si="38"/>
      </c>
      <c r="Q140" s="330">
        <f t="shared" si="39"/>
      </c>
      <c r="R140" s="330">
        <f t="shared" si="40"/>
      </c>
      <c r="S140" s="331">
        <f t="shared" si="41"/>
        <v>3</v>
      </c>
    </row>
    <row r="141" spans="1:19" s="308" customFormat="1" ht="12.75" hidden="1">
      <c r="A141" s="307"/>
      <c r="B141" s="307"/>
      <c r="C141" s="319"/>
      <c r="D141" s="307"/>
      <c r="E141" s="307"/>
      <c r="F141" s="307"/>
      <c r="G141" s="307"/>
      <c r="H141" s="307"/>
      <c r="I141" s="307"/>
      <c r="J141" s="307"/>
      <c r="K141" s="330">
        <f>IF(ISBLANK(G22),"",IF(ISBLANK(G23),"",IF(G23&gt;G22,1,IF(G23&lt;G22,-1,0))))</f>
        <v>-1</v>
      </c>
      <c r="L141" s="330">
        <f>IF(ISBLANK(G22),"",IF(ISBLANK(G24),"",IF(G24&gt;G22,1,IF(G24&lt;G22,-1,0))))</f>
        <v>-1</v>
      </c>
      <c r="M141" s="330">
        <f t="shared" si="35"/>
      </c>
      <c r="N141" s="330">
        <f t="shared" si="36"/>
      </c>
      <c r="O141" s="330">
        <f t="shared" si="37"/>
      </c>
      <c r="P141" s="330">
        <f t="shared" si="38"/>
      </c>
      <c r="Q141" s="330">
        <f t="shared" si="39"/>
      </c>
      <c r="R141" s="330">
        <f t="shared" si="40"/>
      </c>
      <c r="S141" s="331">
        <f t="shared" si="41"/>
        <v>-2</v>
      </c>
    </row>
    <row r="142" spans="1:19" s="308" customFormat="1" ht="12.75" hidden="1">
      <c r="A142" s="307"/>
      <c r="B142" s="307"/>
      <c r="C142" s="319"/>
      <c r="D142" s="307"/>
      <c r="E142" s="307"/>
      <c r="F142" s="307"/>
      <c r="G142" s="307"/>
      <c r="H142" s="307"/>
      <c r="I142" s="307"/>
      <c r="J142" s="307"/>
      <c r="K142" s="307"/>
      <c r="L142" s="330">
        <f>IF(ISBLANK(G23),"",IF(ISBLANK(G24),"",IF(G24&gt;G23,1,IF(G24&lt;G23,-1,0))))</f>
        <v>1</v>
      </c>
      <c r="M142" s="330">
        <f t="shared" si="35"/>
      </c>
      <c r="N142" s="330">
        <f t="shared" si="36"/>
      </c>
      <c r="O142" s="330">
        <f t="shared" si="37"/>
      </c>
      <c r="P142" s="330">
        <f t="shared" si="38"/>
      </c>
      <c r="Q142" s="330">
        <f t="shared" si="39"/>
      </c>
      <c r="R142" s="330">
        <f t="shared" si="40"/>
      </c>
      <c r="S142" s="331">
        <f t="shared" si="41"/>
        <v>1</v>
      </c>
    </row>
    <row r="143" spans="1:19" s="308" customFormat="1" ht="12.75" hidden="1">
      <c r="A143" s="307"/>
      <c r="B143" s="307"/>
      <c r="C143" s="319"/>
      <c r="D143" s="307"/>
      <c r="E143" s="307"/>
      <c r="F143" s="307"/>
      <c r="G143" s="307"/>
      <c r="H143" s="307"/>
      <c r="I143" s="307"/>
      <c r="J143" s="307"/>
      <c r="K143" s="307"/>
      <c r="L143" s="307"/>
      <c r="M143" s="330">
        <f t="shared" si="35"/>
      </c>
      <c r="N143" s="330">
        <f t="shared" si="36"/>
      </c>
      <c r="O143" s="330">
        <f t="shared" si="37"/>
      </c>
      <c r="P143" s="330">
        <f t="shared" si="38"/>
      </c>
      <c r="Q143" s="330">
        <f t="shared" si="39"/>
      </c>
      <c r="R143" s="330">
        <f t="shared" si="40"/>
      </c>
      <c r="S143" s="331">
        <f>SUM(D143:R143)</f>
        <v>0</v>
      </c>
    </row>
    <row r="144" spans="1:19" s="308" customFormat="1" ht="12.75" hidden="1">
      <c r="A144" s="307"/>
      <c r="B144" s="307"/>
      <c r="C144" s="319"/>
      <c r="D144" s="307"/>
      <c r="E144" s="307"/>
      <c r="F144" s="307"/>
      <c r="G144" s="307"/>
      <c r="H144" s="307"/>
      <c r="I144" s="307"/>
      <c r="J144" s="307"/>
      <c r="K144" s="307"/>
      <c r="L144" s="307"/>
      <c r="M144" s="330"/>
      <c r="N144" s="330">
        <f t="shared" si="36"/>
      </c>
      <c r="O144" s="330">
        <f t="shared" si="37"/>
      </c>
      <c r="P144" s="330">
        <f t="shared" si="38"/>
      </c>
      <c r="Q144" s="330">
        <f t="shared" si="39"/>
      </c>
      <c r="R144" s="330">
        <f t="shared" si="40"/>
      </c>
      <c r="S144" s="331">
        <f t="shared" si="41"/>
        <v>0</v>
      </c>
    </row>
    <row r="145" spans="1:19" s="308" customFormat="1" ht="12.75" hidden="1">
      <c r="A145" s="307"/>
      <c r="B145" s="307"/>
      <c r="C145" s="319"/>
      <c r="D145" s="307"/>
      <c r="E145" s="307"/>
      <c r="F145" s="307"/>
      <c r="G145" s="307"/>
      <c r="H145" s="307"/>
      <c r="I145" s="307"/>
      <c r="J145" s="307"/>
      <c r="K145" s="307"/>
      <c r="L145" s="307"/>
      <c r="M145" s="330"/>
      <c r="N145" s="330"/>
      <c r="O145" s="330">
        <f t="shared" si="37"/>
      </c>
      <c r="P145" s="330">
        <f t="shared" si="38"/>
      </c>
      <c r="Q145" s="330">
        <f t="shared" si="39"/>
      </c>
      <c r="R145" s="330">
        <f t="shared" si="40"/>
      </c>
      <c r="S145" s="331">
        <f t="shared" si="41"/>
        <v>0</v>
      </c>
    </row>
    <row r="146" spans="1:19" s="308" customFormat="1" ht="12.75" hidden="1">
      <c r="A146" s="307"/>
      <c r="B146" s="307"/>
      <c r="C146" s="319"/>
      <c r="D146" s="307"/>
      <c r="E146" s="307"/>
      <c r="F146" s="307"/>
      <c r="G146" s="307"/>
      <c r="H146" s="307"/>
      <c r="I146" s="307"/>
      <c r="J146" s="307"/>
      <c r="K146" s="307"/>
      <c r="L146" s="307"/>
      <c r="M146" s="330"/>
      <c r="N146" s="330"/>
      <c r="O146" s="330"/>
      <c r="P146" s="330">
        <f t="shared" si="38"/>
      </c>
      <c r="Q146" s="330">
        <f t="shared" si="39"/>
      </c>
      <c r="R146" s="330">
        <f t="shared" si="40"/>
      </c>
      <c r="S146" s="331">
        <f t="shared" si="41"/>
        <v>0</v>
      </c>
    </row>
    <row r="147" spans="1:19" s="308" customFormat="1" ht="12.75" hidden="1">
      <c r="A147" s="307"/>
      <c r="B147" s="307"/>
      <c r="C147" s="319"/>
      <c r="D147" s="307"/>
      <c r="E147" s="307"/>
      <c r="F147" s="307"/>
      <c r="G147" s="307"/>
      <c r="H147" s="307"/>
      <c r="I147" s="307"/>
      <c r="J147" s="307"/>
      <c r="K147" s="307"/>
      <c r="L147" s="307"/>
      <c r="M147" s="330"/>
      <c r="N147" s="330"/>
      <c r="O147" s="330"/>
      <c r="P147" s="330"/>
      <c r="Q147" s="330">
        <f t="shared" si="39"/>
      </c>
      <c r="R147" s="330">
        <f t="shared" si="40"/>
      </c>
      <c r="S147" s="331">
        <f t="shared" si="41"/>
        <v>0</v>
      </c>
    </row>
    <row r="148" spans="1:19" s="308" customFormat="1" ht="13.5" hidden="1" thickBot="1">
      <c r="A148" s="307"/>
      <c r="B148" s="307"/>
      <c r="C148" s="332"/>
      <c r="D148" s="333"/>
      <c r="E148" s="333"/>
      <c r="F148" s="333"/>
      <c r="G148" s="333"/>
      <c r="H148" s="333"/>
      <c r="I148" s="333"/>
      <c r="J148" s="333"/>
      <c r="K148" s="333"/>
      <c r="L148" s="333"/>
      <c r="M148" s="334"/>
      <c r="N148" s="334"/>
      <c r="O148" s="334"/>
      <c r="P148" s="334"/>
      <c r="Q148" s="334"/>
      <c r="R148" s="334">
        <f t="shared" si="40"/>
      </c>
      <c r="S148" s="335">
        <f t="shared" si="41"/>
        <v>0</v>
      </c>
    </row>
    <row r="149" spans="1:19" s="308" customFormat="1" ht="12.75" hidden="1">
      <c r="A149" s="307"/>
      <c r="B149" s="307"/>
      <c r="C149" s="307"/>
      <c r="D149" s="307"/>
      <c r="E149" s="307"/>
      <c r="F149" s="307"/>
      <c r="G149" s="307"/>
      <c r="H149" s="307"/>
      <c r="I149" s="307"/>
      <c r="J149" s="336" t="s">
        <v>58</v>
      </c>
      <c r="K149" s="336"/>
      <c r="L149" s="307"/>
      <c r="M149" s="307"/>
      <c r="N149" s="307"/>
      <c r="O149" s="307"/>
      <c r="P149" s="307"/>
      <c r="Q149" s="307"/>
      <c r="R149" s="307"/>
      <c r="S149" s="321">
        <f>SUM(S134:S148)</f>
        <v>11</v>
      </c>
    </row>
    <row r="150" spans="1:19" s="308" customFormat="1" ht="12.75" hidden="1">
      <c r="A150" s="307"/>
      <c r="B150" s="307"/>
      <c r="C150" s="307"/>
      <c r="D150" s="307"/>
      <c r="E150" s="307"/>
      <c r="F150" s="307"/>
      <c r="G150" s="307"/>
      <c r="H150" s="307"/>
      <c r="I150" s="307"/>
      <c r="J150" s="307"/>
      <c r="K150" s="307"/>
      <c r="L150" s="307"/>
      <c r="M150" s="307"/>
      <c r="N150" s="307"/>
      <c r="O150" s="307"/>
      <c r="P150" s="307"/>
      <c r="Q150" s="307"/>
      <c r="R150" s="307"/>
      <c r="S150" s="307"/>
    </row>
    <row r="151" spans="1:19" s="308" customFormat="1" ht="12.75" hidden="1">
      <c r="A151" s="307"/>
      <c r="B151" s="307"/>
      <c r="C151" s="318" t="str">
        <f>+H14</f>
        <v>MTBE</v>
      </c>
      <c r="D151" s="309"/>
      <c r="E151" s="309" t="s">
        <v>30</v>
      </c>
      <c r="F151" s="307">
        <f>$C$13</f>
        <v>0</v>
      </c>
      <c r="G151" s="307"/>
      <c r="H151" s="309"/>
      <c r="I151" s="309" t="s">
        <v>31</v>
      </c>
      <c r="J151" s="307">
        <f>$G$13</f>
        <v>0</v>
      </c>
      <c r="K151" s="309"/>
      <c r="L151" s="307" t="s">
        <v>32</v>
      </c>
      <c r="M151" s="307">
        <v>24</v>
      </c>
      <c r="N151" s="307">
        <v>25</v>
      </c>
      <c r="O151" s="307">
        <v>226</v>
      </c>
      <c r="P151" s="307">
        <v>27</v>
      </c>
      <c r="Q151" s="307">
        <v>28</v>
      </c>
      <c r="R151" s="307">
        <v>29</v>
      </c>
      <c r="S151" s="321">
        <f>$I$13</f>
        <v>0</v>
      </c>
    </row>
    <row r="152" spans="1:19" s="308" customFormat="1" ht="12.75" hidden="1">
      <c r="A152" s="307"/>
      <c r="B152" s="307"/>
      <c r="C152" s="309" t="s">
        <v>35</v>
      </c>
      <c r="D152" s="338" t="s">
        <v>36</v>
      </c>
      <c r="E152" s="339" t="s">
        <v>37</v>
      </c>
      <c r="F152" s="339" t="s">
        <v>38</v>
      </c>
      <c r="G152" s="339" t="s">
        <v>39</v>
      </c>
      <c r="H152" s="339" t="s">
        <v>40</v>
      </c>
      <c r="I152" s="339" t="s">
        <v>41</v>
      </c>
      <c r="J152" s="339" t="s">
        <v>42</v>
      </c>
      <c r="K152" s="339" t="s">
        <v>43</v>
      </c>
      <c r="L152" s="339" t="s">
        <v>44</v>
      </c>
      <c r="M152" s="339" t="s">
        <v>176</v>
      </c>
      <c r="N152" s="339" t="s">
        <v>177</v>
      </c>
      <c r="O152" s="339" t="s">
        <v>178</v>
      </c>
      <c r="P152" s="339" t="s">
        <v>179</v>
      </c>
      <c r="Q152" s="339" t="s">
        <v>180</v>
      </c>
      <c r="R152" s="339" t="s">
        <v>181</v>
      </c>
      <c r="S152" s="321"/>
    </row>
    <row r="153" spans="1:19" s="308" customFormat="1" ht="12.75" hidden="1">
      <c r="A153" s="307"/>
      <c r="B153" s="307"/>
      <c r="C153" s="313">
        <f>IF(ISBLANK(H15),"",H15)</f>
        <v>4.4</v>
      </c>
      <c r="D153" s="327">
        <f>IF(ISBLANK(H16),"",H16)</f>
        <v>89</v>
      </c>
      <c r="E153" s="328">
        <f>IF(ISBLANK(H17),"",H17)</f>
        <v>11</v>
      </c>
      <c r="F153" s="328">
        <f>IF(ISBLANK(H18),"",H18)</f>
        <v>16</v>
      </c>
      <c r="G153" s="328">
        <f>IF(ISBLANK(H19),"",H19)</f>
        <v>8.2</v>
      </c>
      <c r="H153" s="328">
        <f>IF(ISBLANK(H20),"",H20)</f>
        <v>7.5</v>
      </c>
      <c r="I153" s="328">
        <f>IF(ISBLANK(H21),"",H21)</f>
        <v>1</v>
      </c>
      <c r="J153" s="328">
        <f>IF(ISBLANK(H22),"",H22)</f>
        <v>75</v>
      </c>
      <c r="K153" s="328">
        <f>IF(ISBLANK(H23),"",H23)</f>
        <v>15</v>
      </c>
      <c r="L153" s="328">
        <f>IF(ISBLANK(H24),"",H24)</f>
        <v>6.7</v>
      </c>
      <c r="M153" s="328">
        <f>IF(ISBLANK(H25),"",H25)</f>
      </c>
      <c r="N153" s="328">
        <f>IF(ISBLANK(H26),"",H26)</f>
      </c>
      <c r="O153" s="328">
        <f>IF(ISBLANK(H27),"",H27)</f>
      </c>
      <c r="P153" s="328">
        <f>IF(ISBLANK(H28),"",H28)</f>
      </c>
      <c r="Q153" s="328">
        <f>IF(ISBLANK(H29),"",H29)</f>
      </c>
      <c r="R153" s="328">
        <f>IF(ISBLANK(H30),"",H30)</f>
      </c>
      <c r="S153" s="321" t="s">
        <v>46</v>
      </c>
    </row>
    <row r="154" spans="1:19" s="308" customFormat="1" ht="12.75" hidden="1">
      <c r="A154" s="307"/>
      <c r="B154" s="307"/>
      <c r="C154" s="344"/>
      <c r="D154" s="345">
        <f>IF(ISBLANK(H15),"",IF(ISBLANK(H16),"",IF(H16&gt;H15,1,IF(H16&lt;H15,-1,0))))</f>
        <v>1</v>
      </c>
      <c r="E154" s="346">
        <f>IF(ISBLANK(H15),"",IF(ISBLANK(H17),"",IF(H17&gt;H15,1,IF(H17&lt;H15,-1,0))))</f>
        <v>1</v>
      </c>
      <c r="F154" s="346">
        <f>IF(ISBLANK(H15),"",IF(ISBLANK(H18),"",IF(H18&gt;H15,1,IF(H18&lt;H15,-1,0))))</f>
        <v>1</v>
      </c>
      <c r="G154" s="346">
        <f>IF(ISBLANK(H15),"",IF(ISBLANK(H19),"",IF(H19&gt;H15,1,IF(H19&lt;H15,-1,0))))</f>
        <v>1</v>
      </c>
      <c r="H154" s="346">
        <f>IF(ISBLANK(H15),"",IF(ISBLANK(H20),"",IF(H20&gt;H15,1,IF(H20&lt;H15,-1,0))))</f>
        <v>1</v>
      </c>
      <c r="I154" s="346">
        <f>IF(ISBLANK(H15),"",IF(ISBLANK(H21),"",IF(H21&gt;H15,1,IF(H21&lt;H15,-1,0))))</f>
        <v>-1</v>
      </c>
      <c r="J154" s="346">
        <f>IF(ISBLANK(H15),"",IF(ISBLANK(H22),"",IF(H22&gt;H15,1,IF(H22&lt;H15,-1,0))))</f>
        <v>1</v>
      </c>
      <c r="K154" s="346">
        <f>IF(ISBLANK(H15),"",IF(ISBLANK(H23),"",IF(H23&gt;H15,1,IF(H23&lt;H15,-1,0))))</f>
        <v>1</v>
      </c>
      <c r="L154" s="346">
        <f>IF(ISBLANK($H15),"",IF(ISBLANK($H$24),"",IF($H$24&gt;$H15,1,IF($H$24&lt;$H15,-1,0))))</f>
        <v>1</v>
      </c>
      <c r="M154" s="346">
        <f>IF(ISBLANK($H15),"",IF(ISBLANK($H$25),"",IF($H$25&gt;$H15,1,IF($H$25&lt;$H15,-1,0))))</f>
      </c>
      <c r="N154" s="346">
        <f>IF(ISBLANK($H15),"",IF(ISBLANK($H$26),"",IF($H$26&gt;$H15,1,IF($H$26&lt;$H15,-1,0))))</f>
      </c>
      <c r="O154" s="346">
        <f>IF(ISBLANK($H15),"",IF(ISBLANK($H$27),"",IF($H$27&gt;$H15,1,IF($H$27&lt;$H15,-1,0))))</f>
      </c>
      <c r="P154" s="346">
        <f>IF(ISBLANK($H15),"",IF(ISBLANK($H$28),"",IF($H$28&gt;$H15,1,IF($H$28&lt;$H15,-1,0))))</f>
      </c>
      <c r="Q154" s="346">
        <f>IF(ISBLANK($H15),"",IF(ISBLANK($H$29),"",IF($H$29&gt;$H15,1,IF($H$29&lt;$H15,-1,0))))</f>
      </c>
      <c r="R154" s="346">
        <f>IF(ISBLANK($H15),"",IF(ISBLANK($H$30),"",IF($H$30&gt;$H15,1,IF($H$30&lt;$H15,-1,0))))</f>
      </c>
      <c r="S154" s="347">
        <f>SUM(D154:R154)</f>
        <v>7</v>
      </c>
    </row>
    <row r="155" spans="1:19" s="308" customFormat="1" ht="12.75" hidden="1">
      <c r="A155" s="307"/>
      <c r="B155" s="307"/>
      <c r="C155" s="319"/>
      <c r="D155" s="307"/>
      <c r="E155" s="330">
        <f>IF(ISBLANK(H16),"",IF(ISBLANK(H17),"",IF(H17&gt;H16,1,IF(H17&lt;H16,-1,0))))</f>
        <v>-1</v>
      </c>
      <c r="F155" s="330">
        <f>IF(ISBLANK(H16),"",IF(ISBLANK(H18),"",IF(H18&gt;H16,1,IF(H18&lt;H16,-1,0))))</f>
        <v>-1</v>
      </c>
      <c r="G155" s="330">
        <f>IF(ISBLANK(H16),"",IF(ISBLANK(H19),"",IF(H19&gt;H16,1,IF(H19&lt;H16,-1,0))))</f>
        <v>-1</v>
      </c>
      <c r="H155" s="330">
        <f>IF(ISBLANK(H16),"",IF(ISBLANK(H20),"",IF(H20&gt;H16,1,IF(H20&lt;H16,-1,0))))</f>
        <v>-1</v>
      </c>
      <c r="I155" s="330">
        <f>IF(ISBLANK(H16),"",IF(ISBLANK(H21),"",IF(H21&gt;H16,1,IF(H21&lt;H16,-1,0))))</f>
        <v>-1</v>
      </c>
      <c r="J155" s="330">
        <f>IF(ISBLANK(H16),"",IF(ISBLANK(H22),"",IF(H22&gt;H16,1,IF(H22&lt;H16,-1,0))))</f>
        <v>-1</v>
      </c>
      <c r="K155" s="330">
        <f>IF(ISBLANK(H16),"",IF(ISBLANK(H23),"",IF(H23&gt;H16,1,IF(H23&lt;H16,-1,0))))</f>
        <v>-1</v>
      </c>
      <c r="L155" s="330">
        <f>IF(ISBLANK(H16),"",IF(ISBLANK(H24),"",IF(H24&gt;H16,1,IF(H24&lt;H16,-1,0))))</f>
        <v>-1</v>
      </c>
      <c r="M155" s="330">
        <f aca="true" t="shared" si="42" ref="M155:M163">IF(ISBLANK($H16),"",IF(ISBLANK($H$25),"",IF($H$25&gt;$H16,1,IF($H$25&lt;$H16,-1,0))))</f>
      </c>
      <c r="N155" s="330">
        <f aca="true" t="shared" si="43" ref="N155:N164">IF(ISBLANK($H16),"",IF(ISBLANK($H$26),"",IF($H$26&gt;$H16,1,IF($H$26&lt;$H16,-1,0))))</f>
      </c>
      <c r="O155" s="330">
        <f aca="true" t="shared" si="44" ref="O155:O165">IF(ISBLANK($H16),"",IF(ISBLANK($H$27),"",IF($H$27&gt;$H16,1,IF($H$27&lt;$H16,-1,0))))</f>
      </c>
      <c r="P155" s="330">
        <f aca="true" t="shared" si="45" ref="P155:P166">IF(ISBLANK($H16),"",IF(ISBLANK($H$28),"",IF($H$28&gt;$H16,1,IF($H$28&lt;$H16,-1,0))))</f>
      </c>
      <c r="Q155" s="330">
        <f aca="true" t="shared" si="46" ref="Q155:Q167">IF(ISBLANK($H16),"",IF(ISBLANK($H$29),"",IF($H$29&gt;$H16,1,IF($H$29&lt;$H16,-1,0))))</f>
      </c>
      <c r="R155" s="330">
        <f aca="true" t="shared" si="47" ref="R155:R168">IF(ISBLANK($H16),"",IF(ISBLANK($H$30),"",IF($H$30&gt;$H16,1,IF($H$30&lt;$H16,-1,0))))</f>
      </c>
      <c r="S155" s="331">
        <f aca="true" t="shared" si="48" ref="S155:S168">SUM(D155:R155)</f>
        <v>-8</v>
      </c>
    </row>
    <row r="156" spans="1:19" s="308" customFormat="1" ht="12.75" hidden="1">
      <c r="A156" s="307"/>
      <c r="B156" s="307"/>
      <c r="C156" s="319"/>
      <c r="D156" s="307"/>
      <c r="E156" s="307"/>
      <c r="F156" s="330">
        <f>IF(ISBLANK(H17),"",IF(ISBLANK(H18),"",IF(H18&gt;H17,1,IF(H18&lt;H17,-1,0))))</f>
        <v>1</v>
      </c>
      <c r="G156" s="330">
        <f>IF(ISBLANK(H17),"",IF(ISBLANK(H19),"",IF(H19&gt;H17,1,IF(H19&lt;H17,-1,0))))</f>
        <v>-1</v>
      </c>
      <c r="H156" s="330">
        <f>IF(ISBLANK(H17),"",IF(ISBLANK(H20),"",IF(H20&gt;H17,1,IF(H20&lt;H17,-1,0))))</f>
        <v>-1</v>
      </c>
      <c r="I156" s="330">
        <f>IF(ISBLANK(H17),"",IF(ISBLANK(H21),"",IF(H21&gt;H17,1,IF(H21&lt;H17,-1,0))))</f>
        <v>-1</v>
      </c>
      <c r="J156" s="330">
        <f>IF(ISBLANK(H17),"",IF(ISBLANK(H22),"",IF(H22&gt;H17,1,IF(H22&lt;H17,-1,0))))</f>
        <v>1</v>
      </c>
      <c r="K156" s="330">
        <f>IF(ISBLANK(H17),"",IF(ISBLANK(H23),"",IF(H23&gt;H17,1,IF(H23&lt;H17,-1,0))))</f>
        <v>1</v>
      </c>
      <c r="L156" s="330">
        <f>IF(ISBLANK(H17),"",IF(ISBLANK(H24),"",IF(H24&gt;H17,1,IF(H24&lt;H17,-1,0))))</f>
        <v>-1</v>
      </c>
      <c r="M156" s="330">
        <f t="shared" si="42"/>
      </c>
      <c r="N156" s="330">
        <f t="shared" si="43"/>
      </c>
      <c r="O156" s="330">
        <f t="shared" si="44"/>
      </c>
      <c r="P156" s="330">
        <f t="shared" si="45"/>
      </c>
      <c r="Q156" s="330">
        <f t="shared" si="46"/>
      </c>
      <c r="R156" s="330">
        <f t="shared" si="47"/>
      </c>
      <c r="S156" s="331">
        <f>SUM(D156:R156)</f>
        <v>-1</v>
      </c>
    </row>
    <row r="157" spans="1:19" s="308" customFormat="1" ht="12.75" hidden="1">
      <c r="A157" s="307"/>
      <c r="B157" s="307"/>
      <c r="C157" s="319"/>
      <c r="D157" s="307"/>
      <c r="E157" s="307"/>
      <c r="F157" s="307"/>
      <c r="G157" s="330">
        <f>IF(ISBLANK(H18),"",IF(ISBLANK(H19),"",IF(H19&gt;H18,1,IF(H19&lt;H18,-1,0))))</f>
        <v>-1</v>
      </c>
      <c r="H157" s="330">
        <f>IF(ISBLANK(H18),"",IF(ISBLANK(H20),"",IF(H20&gt;H18,1,IF(H20&lt;H18,-1,0))))</f>
        <v>-1</v>
      </c>
      <c r="I157" s="330">
        <f>IF(ISBLANK(H18),"",IF(ISBLANK(H21),"",IF(H21&gt;H18,1,IF(H21&lt;H18,-1,0))))</f>
        <v>-1</v>
      </c>
      <c r="J157" s="330">
        <f>IF(ISBLANK(H18),"",IF(ISBLANK(H22),"",IF(H22&gt;H18,1,IF(H22&lt;H18,-1,0))))</f>
        <v>1</v>
      </c>
      <c r="K157" s="330">
        <f>IF(ISBLANK(H18),"",IF(ISBLANK(H23),"",IF(H23&gt;H18,1,IF(H23&lt;H18,-1,0))))</f>
        <v>-1</v>
      </c>
      <c r="L157" s="330">
        <f>IF(ISBLANK(H18),"",IF(ISBLANK(H24),"",IF(H24&gt;H18,1,IF(H24&lt;H18,-1,0))))</f>
        <v>-1</v>
      </c>
      <c r="M157" s="330">
        <f t="shared" si="42"/>
      </c>
      <c r="N157" s="330">
        <f t="shared" si="43"/>
      </c>
      <c r="O157" s="330">
        <f t="shared" si="44"/>
      </c>
      <c r="P157" s="330">
        <f t="shared" si="45"/>
      </c>
      <c r="Q157" s="330">
        <f t="shared" si="46"/>
      </c>
      <c r="R157" s="330">
        <f t="shared" si="47"/>
      </c>
      <c r="S157" s="331">
        <f t="shared" si="48"/>
        <v>-4</v>
      </c>
    </row>
    <row r="158" spans="1:19" s="308" customFormat="1" ht="12.75" hidden="1">
      <c r="A158" s="307"/>
      <c r="B158" s="307"/>
      <c r="C158" s="319"/>
      <c r="D158" s="307"/>
      <c r="E158" s="307"/>
      <c r="F158" s="307"/>
      <c r="G158" s="307"/>
      <c r="H158" s="330">
        <f>IF(ISBLANK(H19),"",IF(ISBLANK(H20),"",IF(H20&gt;H19,1,IF(H20&lt;H19,-1,0))))</f>
        <v>-1</v>
      </c>
      <c r="I158" s="330">
        <f>IF(ISBLANK(H19),"",IF(ISBLANK(H21),"",IF(H21&gt;H19,1,IF(H21&lt;H19,-1,0))))</f>
        <v>-1</v>
      </c>
      <c r="J158" s="330">
        <f>IF(ISBLANK(H19),"",IF(ISBLANK(H22),"",IF(H22&gt;H19,1,IF(H22&lt;H19,-1,0))))</f>
        <v>1</v>
      </c>
      <c r="K158" s="330">
        <f>IF(ISBLANK(H19),"",IF(ISBLANK(H23),"",IF(H23&gt;H19,1,IF(H23&lt;H19,-1,0))))</f>
        <v>1</v>
      </c>
      <c r="L158" s="330">
        <f>IF(ISBLANK(H19),"",IF(ISBLANK(H24),"",IF(H24&gt;H19,1,IF(H24&lt;H19,-1,0))))</f>
        <v>-1</v>
      </c>
      <c r="M158" s="330">
        <f t="shared" si="42"/>
      </c>
      <c r="N158" s="330">
        <f t="shared" si="43"/>
      </c>
      <c r="O158" s="330">
        <f t="shared" si="44"/>
      </c>
      <c r="P158" s="330">
        <f t="shared" si="45"/>
      </c>
      <c r="Q158" s="330">
        <f t="shared" si="46"/>
      </c>
      <c r="R158" s="330">
        <f t="shared" si="47"/>
      </c>
      <c r="S158" s="331">
        <f t="shared" si="48"/>
        <v>-1</v>
      </c>
    </row>
    <row r="159" spans="1:19" s="308" customFormat="1" ht="12.75" hidden="1">
      <c r="A159" s="307"/>
      <c r="B159" s="307"/>
      <c r="C159" s="319"/>
      <c r="D159" s="307"/>
      <c r="E159" s="307"/>
      <c r="F159" s="307"/>
      <c r="G159" s="307"/>
      <c r="H159" s="307"/>
      <c r="I159" s="330">
        <f>IF(ISBLANK(H20),"",IF(ISBLANK(H21),"",IF(H21&gt;H20,1,IF(H21&lt;H20,-1,0))))</f>
        <v>-1</v>
      </c>
      <c r="J159" s="330">
        <f>IF(ISBLANK(H20),"",IF(ISBLANK(H22),"",IF(H22&gt;H20,1,IF(H22&lt;H20,-1,0))))</f>
        <v>1</v>
      </c>
      <c r="K159" s="330">
        <f>IF(ISBLANK(H20),"",IF(ISBLANK(H23),"",IF(H23&gt;H20,1,IF(H23&lt;H20,-1,0))))</f>
        <v>1</v>
      </c>
      <c r="L159" s="330">
        <f>IF(ISBLANK(H20),"",IF(ISBLANK(H24),"",IF(H24&gt;H20,1,IF(H24&lt;H20,-1,0))))</f>
        <v>-1</v>
      </c>
      <c r="M159" s="330">
        <f t="shared" si="42"/>
      </c>
      <c r="N159" s="330">
        <f t="shared" si="43"/>
      </c>
      <c r="O159" s="330">
        <f t="shared" si="44"/>
      </c>
      <c r="P159" s="330">
        <f t="shared" si="45"/>
      </c>
      <c r="Q159" s="330">
        <f t="shared" si="46"/>
      </c>
      <c r="R159" s="330">
        <f t="shared" si="47"/>
      </c>
      <c r="S159" s="331">
        <f t="shared" si="48"/>
        <v>0</v>
      </c>
    </row>
    <row r="160" spans="1:19" s="308" customFormat="1" ht="12.75" hidden="1">
      <c r="A160" s="307"/>
      <c r="B160" s="307"/>
      <c r="C160" s="319"/>
      <c r="D160" s="307"/>
      <c r="E160" s="307"/>
      <c r="F160" s="307"/>
      <c r="G160" s="307"/>
      <c r="H160" s="307"/>
      <c r="I160" s="307"/>
      <c r="J160" s="330">
        <f>IF(ISBLANK(H21),"",IF(ISBLANK(H22),"",IF(H22&gt;H21,1,IF(H22&lt;H21,-1,0))))</f>
        <v>1</v>
      </c>
      <c r="K160" s="330">
        <f>IF(ISBLANK(H21),"",IF(ISBLANK(H23),"",IF(H23&gt;H21,1,IF(H23&lt;H21,-1,0))))</f>
        <v>1</v>
      </c>
      <c r="L160" s="330">
        <f>IF(ISBLANK(H21),"",IF(ISBLANK(H24),"",IF(H24&gt;H21,1,IF(H24&lt;H21,-1,0))))</f>
        <v>1</v>
      </c>
      <c r="M160" s="330">
        <f t="shared" si="42"/>
      </c>
      <c r="N160" s="330">
        <f t="shared" si="43"/>
      </c>
      <c r="O160" s="330">
        <f t="shared" si="44"/>
      </c>
      <c r="P160" s="330">
        <f t="shared" si="45"/>
      </c>
      <c r="Q160" s="330">
        <f t="shared" si="46"/>
      </c>
      <c r="R160" s="330">
        <f t="shared" si="47"/>
      </c>
      <c r="S160" s="331">
        <f>SUM(D160:R160)</f>
        <v>3</v>
      </c>
    </row>
    <row r="161" spans="1:19" s="308" customFormat="1" ht="12.75" hidden="1">
      <c r="A161" s="307"/>
      <c r="B161" s="307"/>
      <c r="C161" s="319"/>
      <c r="D161" s="307"/>
      <c r="E161" s="307"/>
      <c r="F161" s="307"/>
      <c r="G161" s="307"/>
      <c r="H161" s="307"/>
      <c r="I161" s="307"/>
      <c r="J161" s="307"/>
      <c r="K161" s="330">
        <f>IF(ISBLANK(H22),"",IF(ISBLANK(H23),"",IF(H23&gt;H22,1,IF(H23&lt;H22,-1,0))))</f>
        <v>-1</v>
      </c>
      <c r="L161" s="330">
        <f>IF(ISBLANK(H22),"",IF(ISBLANK(H24),"",IF(H24&gt;H22,1,IF(H24&lt;H22,-1,0))))</f>
        <v>-1</v>
      </c>
      <c r="M161" s="330">
        <f t="shared" si="42"/>
      </c>
      <c r="N161" s="330">
        <f t="shared" si="43"/>
      </c>
      <c r="O161" s="330">
        <f t="shared" si="44"/>
      </c>
      <c r="P161" s="330">
        <f t="shared" si="45"/>
      </c>
      <c r="Q161" s="330">
        <f t="shared" si="46"/>
      </c>
      <c r="R161" s="330">
        <f t="shared" si="47"/>
      </c>
      <c r="S161" s="331">
        <f t="shared" si="48"/>
        <v>-2</v>
      </c>
    </row>
    <row r="162" spans="1:19" s="308" customFormat="1" ht="12.75" hidden="1">
      <c r="A162" s="307"/>
      <c r="B162" s="307"/>
      <c r="C162" s="319"/>
      <c r="D162" s="307"/>
      <c r="E162" s="307"/>
      <c r="F162" s="307"/>
      <c r="G162" s="307"/>
      <c r="H162" s="307"/>
      <c r="I162" s="307"/>
      <c r="J162" s="307"/>
      <c r="K162" s="307"/>
      <c r="L162" s="330">
        <f>IF(ISBLANK(H23),"",IF(ISBLANK(H24),"",IF(H24&gt;H23,1,IF(H24&lt;H23,-1,0))))</f>
        <v>-1</v>
      </c>
      <c r="M162" s="330">
        <f t="shared" si="42"/>
      </c>
      <c r="N162" s="330">
        <f t="shared" si="43"/>
      </c>
      <c r="O162" s="330">
        <f t="shared" si="44"/>
      </c>
      <c r="P162" s="330">
        <f t="shared" si="45"/>
      </c>
      <c r="Q162" s="330">
        <f t="shared" si="46"/>
      </c>
      <c r="R162" s="330">
        <f t="shared" si="47"/>
      </c>
      <c r="S162" s="331">
        <f t="shared" si="48"/>
        <v>-1</v>
      </c>
    </row>
    <row r="163" spans="1:19" s="308" customFormat="1" ht="12.75" hidden="1">
      <c r="A163" s="307"/>
      <c r="B163" s="307"/>
      <c r="C163" s="319"/>
      <c r="D163" s="307"/>
      <c r="E163" s="307"/>
      <c r="F163" s="307"/>
      <c r="G163" s="307"/>
      <c r="H163" s="307"/>
      <c r="I163" s="307"/>
      <c r="J163" s="307"/>
      <c r="K163" s="307"/>
      <c r="L163" s="307"/>
      <c r="M163" s="330">
        <f t="shared" si="42"/>
      </c>
      <c r="N163" s="330">
        <f t="shared" si="43"/>
      </c>
      <c r="O163" s="330">
        <f t="shared" si="44"/>
      </c>
      <c r="P163" s="330">
        <f t="shared" si="45"/>
      </c>
      <c r="Q163" s="330">
        <f t="shared" si="46"/>
      </c>
      <c r="R163" s="330">
        <f t="shared" si="47"/>
      </c>
      <c r="S163" s="331">
        <f t="shared" si="48"/>
        <v>0</v>
      </c>
    </row>
    <row r="164" spans="1:19" s="308" customFormat="1" ht="12.75" hidden="1">
      <c r="A164" s="307"/>
      <c r="B164" s="307"/>
      <c r="C164" s="319"/>
      <c r="D164" s="307"/>
      <c r="E164" s="307"/>
      <c r="F164" s="307"/>
      <c r="G164" s="307"/>
      <c r="H164" s="307"/>
      <c r="I164" s="307"/>
      <c r="J164" s="307"/>
      <c r="K164" s="307"/>
      <c r="L164" s="307"/>
      <c r="M164" s="330"/>
      <c r="N164" s="330">
        <f t="shared" si="43"/>
      </c>
      <c r="O164" s="330">
        <f t="shared" si="44"/>
      </c>
      <c r="P164" s="330">
        <f t="shared" si="45"/>
      </c>
      <c r="Q164" s="330">
        <f t="shared" si="46"/>
      </c>
      <c r="R164" s="330">
        <f t="shared" si="47"/>
      </c>
      <c r="S164" s="331">
        <f t="shared" si="48"/>
        <v>0</v>
      </c>
    </row>
    <row r="165" spans="1:19" s="308" customFormat="1" ht="12.75" hidden="1">
      <c r="A165" s="307"/>
      <c r="B165" s="307"/>
      <c r="C165" s="319"/>
      <c r="D165" s="307"/>
      <c r="E165" s="307"/>
      <c r="F165" s="307"/>
      <c r="G165" s="307"/>
      <c r="H165" s="307"/>
      <c r="I165" s="307"/>
      <c r="J165" s="307"/>
      <c r="K165" s="307"/>
      <c r="L165" s="307"/>
      <c r="M165" s="330"/>
      <c r="N165" s="330"/>
      <c r="O165" s="330">
        <f t="shared" si="44"/>
      </c>
      <c r="P165" s="330">
        <f t="shared" si="45"/>
      </c>
      <c r="Q165" s="330">
        <f t="shared" si="46"/>
      </c>
      <c r="R165" s="330">
        <f t="shared" si="47"/>
      </c>
      <c r="S165" s="331">
        <f t="shared" si="48"/>
        <v>0</v>
      </c>
    </row>
    <row r="166" spans="1:19" s="308" customFormat="1" ht="12.75" hidden="1">
      <c r="A166" s="307"/>
      <c r="B166" s="307"/>
      <c r="C166" s="319"/>
      <c r="D166" s="307"/>
      <c r="E166" s="307"/>
      <c r="F166" s="307"/>
      <c r="G166" s="307"/>
      <c r="H166" s="307"/>
      <c r="I166" s="307"/>
      <c r="J166" s="307"/>
      <c r="K166" s="307"/>
      <c r="L166" s="307"/>
      <c r="M166" s="330"/>
      <c r="N166" s="330"/>
      <c r="O166" s="330"/>
      <c r="P166" s="330">
        <f t="shared" si="45"/>
      </c>
      <c r="Q166" s="330">
        <f t="shared" si="46"/>
      </c>
      <c r="R166" s="330">
        <f t="shared" si="47"/>
      </c>
      <c r="S166" s="331">
        <f t="shared" si="48"/>
        <v>0</v>
      </c>
    </row>
    <row r="167" spans="1:19" s="308" customFormat="1" ht="12.75" hidden="1">
      <c r="A167" s="307"/>
      <c r="B167" s="307"/>
      <c r="C167" s="319"/>
      <c r="D167" s="307"/>
      <c r="E167" s="307"/>
      <c r="F167" s="307"/>
      <c r="G167" s="307"/>
      <c r="H167" s="307"/>
      <c r="I167" s="307"/>
      <c r="J167" s="307"/>
      <c r="K167" s="307"/>
      <c r="L167" s="307"/>
      <c r="M167" s="330"/>
      <c r="N167" s="330"/>
      <c r="O167" s="330"/>
      <c r="P167" s="330"/>
      <c r="Q167" s="330">
        <f t="shared" si="46"/>
      </c>
      <c r="R167" s="330">
        <f t="shared" si="47"/>
      </c>
      <c r="S167" s="331">
        <f t="shared" si="48"/>
        <v>0</v>
      </c>
    </row>
    <row r="168" spans="1:19" s="308" customFormat="1" ht="13.5" hidden="1" thickBot="1">
      <c r="A168" s="307"/>
      <c r="B168" s="307"/>
      <c r="C168" s="332"/>
      <c r="D168" s="333"/>
      <c r="E168" s="333"/>
      <c r="F168" s="333"/>
      <c r="G168" s="333"/>
      <c r="H168" s="333"/>
      <c r="I168" s="333"/>
      <c r="J168" s="333"/>
      <c r="K168" s="333"/>
      <c r="L168" s="333"/>
      <c r="M168" s="334"/>
      <c r="N168" s="334"/>
      <c r="O168" s="334"/>
      <c r="P168" s="334"/>
      <c r="Q168" s="334"/>
      <c r="R168" s="334">
        <f t="shared" si="47"/>
      </c>
      <c r="S168" s="335">
        <f t="shared" si="48"/>
        <v>0</v>
      </c>
    </row>
    <row r="169" spans="1:19" s="308" customFormat="1" ht="12.75" hidden="1">
      <c r="A169" s="307"/>
      <c r="B169" s="307"/>
      <c r="C169" s="307"/>
      <c r="D169" s="307"/>
      <c r="E169" s="307"/>
      <c r="F169" s="307"/>
      <c r="G169" s="307"/>
      <c r="H169" s="307"/>
      <c r="I169" s="307"/>
      <c r="J169" s="336" t="s">
        <v>58</v>
      </c>
      <c r="K169" s="336"/>
      <c r="L169" s="307"/>
      <c r="M169" s="307"/>
      <c r="N169" s="307"/>
      <c r="O169" s="307"/>
      <c r="P169" s="307"/>
      <c r="Q169" s="307"/>
      <c r="R169" s="307"/>
      <c r="S169" s="321">
        <f>SUM(S154:S168)</f>
        <v>-7</v>
      </c>
    </row>
    <row r="170" spans="1:19" s="308" customFormat="1" ht="12.75" hidden="1">
      <c r="A170" s="307"/>
      <c r="B170" s="307"/>
      <c r="C170" s="307"/>
      <c r="D170" s="307"/>
      <c r="E170" s="307"/>
      <c r="F170" s="307"/>
      <c r="G170" s="307"/>
      <c r="H170" s="307"/>
      <c r="I170" s="307"/>
      <c r="J170" s="307"/>
      <c r="K170" s="307"/>
      <c r="L170" s="307"/>
      <c r="M170" s="307"/>
      <c r="N170" s="307"/>
      <c r="O170" s="307"/>
      <c r="P170" s="307"/>
      <c r="Q170" s="307"/>
      <c r="R170" s="307"/>
      <c r="S170" s="307"/>
    </row>
    <row r="171" spans="1:19" s="308" customFormat="1" ht="12.75" hidden="1">
      <c r="A171" s="307"/>
      <c r="B171" s="307"/>
      <c r="C171" s="318" t="str">
        <f>+I14</f>
        <v>Ethylbenzene</v>
      </c>
      <c r="D171" s="309"/>
      <c r="E171" s="309" t="s">
        <v>30</v>
      </c>
      <c r="F171" s="307">
        <f>$C$13</f>
        <v>0</v>
      </c>
      <c r="G171" s="307"/>
      <c r="H171" s="309"/>
      <c r="I171" s="309" t="s">
        <v>31</v>
      </c>
      <c r="J171" s="307">
        <f>$G$13</f>
        <v>0</v>
      </c>
      <c r="K171" s="309"/>
      <c r="L171" s="307" t="s">
        <v>32</v>
      </c>
      <c r="M171" s="307">
        <v>24</v>
      </c>
      <c r="N171" s="307">
        <v>25</v>
      </c>
      <c r="O171" s="307">
        <v>26</v>
      </c>
      <c r="P171" s="307">
        <v>27</v>
      </c>
      <c r="Q171" s="307">
        <v>28</v>
      </c>
      <c r="R171" s="307">
        <v>29</v>
      </c>
      <c r="S171" s="321">
        <f>$I$13</f>
        <v>0</v>
      </c>
    </row>
    <row r="172" spans="1:19" s="308" customFormat="1" ht="12.75" hidden="1">
      <c r="A172" s="307"/>
      <c r="B172" s="307"/>
      <c r="C172" s="309" t="s">
        <v>35</v>
      </c>
      <c r="D172" s="338" t="s">
        <v>36</v>
      </c>
      <c r="E172" s="339" t="s">
        <v>37</v>
      </c>
      <c r="F172" s="339" t="s">
        <v>38</v>
      </c>
      <c r="G172" s="339" t="s">
        <v>39</v>
      </c>
      <c r="H172" s="339" t="s">
        <v>40</v>
      </c>
      <c r="I172" s="339" t="s">
        <v>41</v>
      </c>
      <c r="J172" s="339" t="s">
        <v>42</v>
      </c>
      <c r="K172" s="339" t="s">
        <v>43</v>
      </c>
      <c r="L172" s="339" t="s">
        <v>44</v>
      </c>
      <c r="M172" s="339" t="s">
        <v>176</v>
      </c>
      <c r="N172" s="339" t="s">
        <v>177</v>
      </c>
      <c r="O172" s="339" t="s">
        <v>178</v>
      </c>
      <c r="P172" s="339" t="s">
        <v>179</v>
      </c>
      <c r="Q172" s="339" t="s">
        <v>180</v>
      </c>
      <c r="R172" s="339" t="s">
        <v>181</v>
      </c>
      <c r="S172" s="321"/>
    </row>
    <row r="173" spans="1:19" s="308" customFormat="1" ht="12.75" hidden="1">
      <c r="A173" s="307"/>
      <c r="B173" s="307"/>
      <c r="C173" s="313">
        <f>IF(ISBLANK(I15),"",I15)</f>
        <v>35</v>
      </c>
      <c r="D173" s="327">
        <f>IF(ISBLANK(I16),"",I16)</f>
      </c>
      <c r="E173" s="328">
        <f>IF(ISBLANK(I17),"",I17)</f>
        <v>45</v>
      </c>
      <c r="F173" s="328">
        <f>IF(ISBLANK(I18),"",I18)</f>
      </c>
      <c r="G173" s="328">
        <f>IF(ISBLANK(I19),"",I19)</f>
        <v>12</v>
      </c>
      <c r="H173" s="328">
        <f>IF(ISBLANK(I20),"",I20)</f>
      </c>
      <c r="I173" s="328">
        <f>IF(ISBLANK(I21),"",I21)</f>
      </c>
      <c r="J173" s="328">
        <f>IF(ISBLANK(I22),"",I22)</f>
      </c>
      <c r="K173" s="328">
        <f>IF(ISBLANK(I23),"",I23)</f>
      </c>
      <c r="L173" s="328">
        <f>IF(ISBLANK($I24),"",$I24)</f>
      </c>
      <c r="M173" s="328">
        <f>IF(ISBLANK($I25),"",$I25)</f>
      </c>
      <c r="N173" s="328">
        <f>IF(ISBLANK($I26),"",$I26)</f>
      </c>
      <c r="O173" s="328">
        <f>IF(ISBLANK($I27),"",$I27)</f>
      </c>
      <c r="P173" s="328">
        <f>IF(ISBLANK($I28),"",$I28)</f>
      </c>
      <c r="Q173" s="328">
        <f>IF(ISBLANK($I29),"",$I29)</f>
      </c>
      <c r="R173" s="328">
        <f>IF(ISBLANK($I30),"",$I30)</f>
      </c>
      <c r="S173" s="321" t="s">
        <v>46</v>
      </c>
    </row>
    <row r="174" spans="1:19" s="308" customFormat="1" ht="12.75" hidden="1">
      <c r="A174" s="307"/>
      <c r="B174" s="307"/>
      <c r="C174" s="344"/>
      <c r="D174" s="345">
        <f>IF(ISBLANK(I15),"",IF(ISBLANK(I16),"",IF(I16&gt;I15,1,IF(I16&lt;I15,-1,0))))</f>
      </c>
      <c r="E174" s="346">
        <f>IF(ISBLANK(I15),"",IF(ISBLANK(I17),"",IF(I17&gt;I15,1,IF(I17&lt;I15,-1,0))))</f>
        <v>1</v>
      </c>
      <c r="F174" s="346">
        <f>IF(ISBLANK(I15),"",IF(ISBLANK(I18),"",IF(I18&gt;I15,1,IF(I18&lt;I15,-1,0))))</f>
      </c>
      <c r="G174" s="346">
        <f>IF(ISBLANK(I15),"",IF(ISBLANK(I19),"",IF(I19&gt;I15,1,IF(I19&lt;I15,-1,0))))</f>
        <v>-1</v>
      </c>
      <c r="H174" s="346">
        <f>IF(ISBLANK(I15),"",IF(ISBLANK(I20),"",IF(I20&gt;I15,1,IF(I20&lt;I15,-1,0))))</f>
      </c>
      <c r="I174" s="346">
        <f>IF(ISBLANK(I15),"",IF(ISBLANK(I21),"",IF(I21&gt;I15,1,IF(I21&lt;I15,-1,0))))</f>
      </c>
      <c r="J174" s="346">
        <f>IF(ISBLANK(I15),"",IF(ISBLANK(I22),"",IF(I22&gt;I15,1,IF(I22&lt;I15,-1,0))))</f>
      </c>
      <c r="K174" s="346">
        <f>IF(ISBLANK(I15),"",IF(ISBLANK(I23),"",IF(I23&gt;I15,1,IF(I23&lt;I15,-1,0))))</f>
      </c>
      <c r="L174" s="346">
        <f>IF(ISBLANK($I15),"",IF(ISBLANK($I$24),"",IF($I$24&gt;$I15,1,IF($I$24&lt;$I15,-1,0))))</f>
      </c>
      <c r="M174" s="346">
        <f>IF(ISBLANK($I15),"",IF(ISBLANK($I$25),"",IF($I$25&gt;$I15,1,IF($I$25&lt;$I15,-1,0))))</f>
      </c>
      <c r="N174" s="346">
        <f>IF(ISBLANK($I15),"",IF(ISBLANK($I$26),"",IF($I$26&gt;$I15,1,IF($I$26&lt;$I15,-1,0))))</f>
      </c>
      <c r="O174" s="346">
        <f>IF(ISBLANK($I15),"",IF(ISBLANK($I$27),"",IF($I$27&gt;$I15,1,IF($I$27&lt;$I15,-1,0))))</f>
      </c>
      <c r="P174" s="346">
        <f>IF(ISBLANK($I15),"",IF(ISBLANK($I$28),"",IF($I$28&gt;$I15,1,IF($I$28&lt;$I15,-1,0))))</f>
      </c>
      <c r="Q174" s="346">
        <f>IF(ISBLANK($I15),"",IF(ISBLANK($I$29),"",IF($I$29&gt;$I15,1,IF($I$29&lt;$I15,-1,0))))</f>
      </c>
      <c r="R174" s="346">
        <f>IF(ISBLANK($I15),"",IF(ISBLANK($I$30),"",IF($I$30&gt;$I15,1,IF($I$30&lt;$I15,-1,0))))</f>
      </c>
      <c r="S174" s="347">
        <f>SUM(D174:R174)</f>
        <v>0</v>
      </c>
    </row>
    <row r="175" spans="1:19" s="308" customFormat="1" ht="12.75" hidden="1">
      <c r="A175" s="307"/>
      <c r="B175" s="307"/>
      <c r="C175" s="319"/>
      <c r="D175" s="307"/>
      <c r="E175" s="330">
        <f>IF(ISBLANK(I16),"",IF(ISBLANK(I17),"",IF(I17&gt;I16,1,IF(I17&lt;I16,-1,0))))</f>
      </c>
      <c r="F175" s="330">
        <f>IF(ISBLANK(I16),"",IF(ISBLANK(I18),"",IF(I18&gt;I16,1,IF(I18&lt;I16,-1,0))))</f>
      </c>
      <c r="G175" s="330">
        <f>IF(ISBLANK(I16),"",IF(ISBLANK(I19),"",IF(I19&gt;I16,1,IF(I19&lt;I16,-1,0))))</f>
      </c>
      <c r="H175" s="330">
        <f>IF(ISBLANK(I16),"",IF(ISBLANK(I20),"",IF(I20&gt;I16,1,IF(I20&lt;I16,-1,0))))</f>
      </c>
      <c r="I175" s="330">
        <f>IF(ISBLANK(I16),"",IF(ISBLANK(I21),"",IF(I21&gt;I16,1,IF(I21&lt;I16,-1,0))))</f>
      </c>
      <c r="J175" s="330">
        <f>IF(ISBLANK(I16),"",IF(ISBLANK(I22),"",IF(I22&gt;I16,1,IF(I22&lt;I16,-1,0))))</f>
      </c>
      <c r="K175" s="330">
        <f>IF(ISBLANK(I16),"",IF(ISBLANK(I23),"",IF(I23&gt;I16,1,IF(I23&lt;I16,-1,0))))</f>
      </c>
      <c r="L175" s="330">
        <f>IF(ISBLANK(I16),"",IF(ISBLANK(I24),"",IF(I24&gt;I16,1,IF(I24&lt;I16,-1,0))))</f>
      </c>
      <c r="M175" s="330">
        <f aca="true" t="shared" si="49" ref="M175:M183">IF(ISBLANK($I16),"",IF(ISBLANK($I$25),"",IF($I$25&gt;$I16,1,IF($I$25&lt;$I16,-1,0))))</f>
      </c>
      <c r="N175" s="330">
        <f aca="true" t="shared" si="50" ref="N175:N184">IF(ISBLANK($I16),"",IF(ISBLANK($I$26),"",IF($I$26&gt;$I16,1,IF($I$26&lt;$I16,-1,0))))</f>
      </c>
      <c r="O175" s="330">
        <f aca="true" t="shared" si="51" ref="O175:O185">IF(ISBLANK($I16),"",IF(ISBLANK($I$27),"",IF($I$27&gt;$I16,1,IF($I$27&lt;$I16,-1,0))))</f>
      </c>
      <c r="P175" s="330">
        <f aca="true" t="shared" si="52" ref="P175:P186">IF(ISBLANK($I16),"",IF(ISBLANK($I$28),"",IF($I$28&gt;$I16,1,IF($I$28&lt;$I16,-1,0))))</f>
      </c>
      <c r="Q175" s="330">
        <f aca="true" t="shared" si="53" ref="Q175:Q187">IF(ISBLANK($I16),"",IF(ISBLANK($I$29),"",IF($I$29&gt;$I16,1,IF($I$29&lt;$I16,-1,0))))</f>
      </c>
      <c r="R175" s="330">
        <f aca="true" t="shared" si="54" ref="R175:R188">IF(ISBLANK($I16),"",IF(ISBLANK($I$30),"",IF($I$30&gt;$I16,1,IF($I$30&lt;$I16,-1,0))))</f>
      </c>
      <c r="S175" s="331">
        <f aca="true" t="shared" si="55" ref="S175:S188">SUM(D175:R175)</f>
        <v>0</v>
      </c>
    </row>
    <row r="176" spans="1:19" s="308" customFormat="1" ht="12.75" hidden="1">
      <c r="A176" s="307"/>
      <c r="B176" s="307"/>
      <c r="C176" s="319"/>
      <c r="D176" s="307"/>
      <c r="E176" s="307"/>
      <c r="F176" s="330">
        <f>IF(ISBLANK(I17),"",IF(ISBLANK(I18),"",IF(I18&gt;I17,1,IF(I18&lt;I17,-1,0))))</f>
      </c>
      <c r="G176" s="330">
        <f>IF(ISBLANK(I17),"",IF(ISBLANK(I19),"",IF(I19&gt;I17,1,IF(I19&lt;I17,-1,0))))</f>
        <v>-1</v>
      </c>
      <c r="H176" s="330">
        <f>IF(ISBLANK(I17),"",IF(ISBLANK(I20),"",IF(I20&gt;I17,1,IF(I20&lt;I17,-1,0))))</f>
      </c>
      <c r="I176" s="330">
        <f>IF(ISBLANK(I17),"",IF(ISBLANK(I21),"",IF(I21&gt;I17,1,IF(I21&lt;I17,-1,0))))</f>
      </c>
      <c r="J176" s="330">
        <f>IF(ISBLANK(I17),"",IF(ISBLANK(I22),"",IF(I22&gt;I17,1,IF(I22&lt;I17,-1,0))))</f>
      </c>
      <c r="K176" s="330">
        <f>IF(ISBLANK(I17),"",IF(ISBLANK(I23),"",IF(I23&gt;I17,1,IF(I23&lt;I17,-1,0))))</f>
      </c>
      <c r="L176" s="330">
        <f>IF(ISBLANK(I17),"",IF(ISBLANK(I24),"",IF(I24&gt;I17,1,IF(I24&lt;I17,-1,0))))</f>
      </c>
      <c r="M176" s="330">
        <f t="shared" si="49"/>
      </c>
      <c r="N176" s="330">
        <f t="shared" si="50"/>
      </c>
      <c r="O176" s="330">
        <f t="shared" si="51"/>
      </c>
      <c r="P176" s="330">
        <f t="shared" si="52"/>
      </c>
      <c r="Q176" s="330">
        <f t="shared" si="53"/>
      </c>
      <c r="R176" s="330">
        <f t="shared" si="54"/>
      </c>
      <c r="S176" s="331">
        <f t="shared" si="55"/>
        <v>-1</v>
      </c>
    </row>
    <row r="177" spans="1:19" s="308" customFormat="1" ht="12.75" hidden="1">
      <c r="A177" s="307"/>
      <c r="B177" s="307"/>
      <c r="C177" s="319"/>
      <c r="D177" s="307"/>
      <c r="E177" s="307"/>
      <c r="F177" s="307"/>
      <c r="G177" s="330">
        <f>IF(ISBLANK(I18),"",IF(ISBLANK(I19),"",IF(I19&gt;I18,1,IF(I19&lt;I18,-1,0))))</f>
      </c>
      <c r="H177" s="330">
        <f>IF(ISBLANK(I18),"",IF(ISBLANK(I20),"",IF(I20&gt;I18,1,IF(I20&lt;I18,-1,0))))</f>
      </c>
      <c r="I177" s="330">
        <f>IF(ISBLANK(I18),"",IF(ISBLANK(I21),"",IF(I21&gt;I18,1,IF(I21&lt;I18,-1,0))))</f>
      </c>
      <c r="J177" s="330">
        <f>IF(ISBLANK(I18),"",IF(ISBLANK(I22),"",IF(I22&gt;I18,1,IF(I22&lt;I18,-1,0))))</f>
      </c>
      <c r="K177" s="330">
        <f>IF(ISBLANK(I18),"",IF(ISBLANK(I23),"",IF(I23&gt;I18,1,IF(I23&lt;I18,-1,0))))</f>
      </c>
      <c r="L177" s="330">
        <f>IF(ISBLANK(I18),"",IF(ISBLANK(I24),"",IF(I24&gt;I18,1,IF(I24&lt;I18,-1,0))))</f>
      </c>
      <c r="M177" s="330">
        <f t="shared" si="49"/>
      </c>
      <c r="N177" s="330">
        <f t="shared" si="50"/>
      </c>
      <c r="O177" s="330">
        <f t="shared" si="51"/>
      </c>
      <c r="P177" s="330">
        <f t="shared" si="52"/>
      </c>
      <c r="Q177" s="330">
        <f t="shared" si="53"/>
      </c>
      <c r="R177" s="330">
        <f t="shared" si="54"/>
      </c>
      <c r="S177" s="331">
        <f t="shared" si="55"/>
        <v>0</v>
      </c>
    </row>
    <row r="178" spans="1:19" s="308" customFormat="1" ht="12.75" hidden="1">
      <c r="A178" s="307"/>
      <c r="B178" s="307"/>
      <c r="C178" s="319"/>
      <c r="D178" s="307"/>
      <c r="E178" s="307"/>
      <c r="F178" s="307"/>
      <c r="G178" s="307"/>
      <c r="H178" s="330">
        <f>IF(ISBLANK(I19),"",IF(ISBLANK(I20),"",IF(I20&gt;I19,1,IF(I20&lt;I19,-1,0))))</f>
      </c>
      <c r="I178" s="330">
        <f>IF(ISBLANK(I19),"",IF(ISBLANK(I21),"",IF(I21&gt;I19,1,IF(I21&lt;I19,-1,0))))</f>
      </c>
      <c r="J178" s="330">
        <f>IF(ISBLANK(I19),"",IF(ISBLANK(I22),"",IF(I22&gt;I19,1,IF(I22&lt;I19,-1,0))))</f>
      </c>
      <c r="K178" s="330">
        <f>IF(ISBLANK(I19),"",IF(ISBLANK(I23),"",IF(I23&gt;I19,1,IF(I23&lt;I19,-1,0))))</f>
      </c>
      <c r="L178" s="330">
        <f>IF(ISBLANK(I19),"",IF(ISBLANK(I24),"",IF(I24&gt;I19,1,IF(I24&lt;I19,-1,0))))</f>
      </c>
      <c r="M178" s="330">
        <f t="shared" si="49"/>
      </c>
      <c r="N178" s="330">
        <f t="shared" si="50"/>
      </c>
      <c r="O178" s="330">
        <f t="shared" si="51"/>
      </c>
      <c r="P178" s="330">
        <f t="shared" si="52"/>
      </c>
      <c r="Q178" s="330">
        <f t="shared" si="53"/>
      </c>
      <c r="R178" s="330">
        <f t="shared" si="54"/>
      </c>
      <c r="S178" s="331">
        <f t="shared" si="55"/>
        <v>0</v>
      </c>
    </row>
    <row r="179" spans="1:19" s="308" customFormat="1" ht="12.75" hidden="1">
      <c r="A179" s="307"/>
      <c r="B179" s="307"/>
      <c r="C179" s="319"/>
      <c r="D179" s="307"/>
      <c r="E179" s="307"/>
      <c r="F179" s="307"/>
      <c r="G179" s="307"/>
      <c r="H179" s="307"/>
      <c r="I179" s="330">
        <f>IF(ISBLANK(I20),"",IF(ISBLANK(I21),"",IF(I21&gt;I20,1,IF(I21&lt;I20,-1,0))))</f>
      </c>
      <c r="J179" s="330">
        <f>IF(ISBLANK(I20),"",IF(ISBLANK(I22),"",IF(I22&gt;I20,1,IF(I22&lt;I20,-1,0))))</f>
      </c>
      <c r="K179" s="330">
        <f>IF(ISBLANK(I20),"",IF(ISBLANK(I23),"",IF(I23&gt;I20,1,IF(I23&lt;I20,-1,0))))</f>
      </c>
      <c r="L179" s="330">
        <f>IF(ISBLANK(I20),"",IF(ISBLANK(I24),"",IF(I24&gt;I20,1,IF(I24&lt;I20,-1,0))))</f>
      </c>
      <c r="M179" s="330">
        <f t="shared" si="49"/>
      </c>
      <c r="N179" s="330">
        <f t="shared" si="50"/>
      </c>
      <c r="O179" s="330">
        <f t="shared" si="51"/>
      </c>
      <c r="P179" s="330">
        <f t="shared" si="52"/>
      </c>
      <c r="Q179" s="330">
        <f t="shared" si="53"/>
      </c>
      <c r="R179" s="330">
        <f t="shared" si="54"/>
      </c>
      <c r="S179" s="331">
        <f>SUM(D179:R179)</f>
        <v>0</v>
      </c>
    </row>
    <row r="180" spans="1:19" s="308" customFormat="1" ht="12.75" hidden="1">
      <c r="A180" s="307"/>
      <c r="B180" s="307"/>
      <c r="C180" s="319"/>
      <c r="D180" s="307"/>
      <c r="E180" s="307"/>
      <c r="F180" s="307"/>
      <c r="G180" s="307"/>
      <c r="H180" s="307"/>
      <c r="I180" s="307"/>
      <c r="J180" s="330">
        <f>IF(ISBLANK(I21),"",IF(ISBLANK(I22),"",IF(I22&gt;I21,1,IF(I22&lt;I21,-1,0))))</f>
      </c>
      <c r="K180" s="330">
        <f>IF(ISBLANK(I21),"",IF(ISBLANK(I23),"",IF(I23&gt;I21,1,IF(I23&lt;I21,-1,0))))</f>
      </c>
      <c r="L180" s="330">
        <f>IF(ISBLANK(I21),"",IF(ISBLANK(I24),"",IF(I24&gt;I21,1,IF(I24&lt;I21,-1,0))))</f>
      </c>
      <c r="M180" s="330">
        <f t="shared" si="49"/>
      </c>
      <c r="N180" s="330">
        <f t="shared" si="50"/>
      </c>
      <c r="O180" s="330">
        <f t="shared" si="51"/>
      </c>
      <c r="P180" s="330">
        <f t="shared" si="52"/>
      </c>
      <c r="Q180" s="330">
        <f t="shared" si="53"/>
      </c>
      <c r="R180" s="330">
        <f t="shared" si="54"/>
      </c>
      <c r="S180" s="331">
        <f t="shared" si="55"/>
        <v>0</v>
      </c>
    </row>
    <row r="181" spans="1:19" s="308" customFormat="1" ht="12.75" hidden="1">
      <c r="A181" s="307"/>
      <c r="B181" s="307"/>
      <c r="C181" s="319"/>
      <c r="D181" s="307"/>
      <c r="E181" s="307"/>
      <c r="F181" s="307"/>
      <c r="G181" s="307"/>
      <c r="H181" s="307"/>
      <c r="I181" s="307"/>
      <c r="J181" s="307"/>
      <c r="K181" s="330">
        <f>IF(ISBLANK(I22),"",IF(ISBLANK(I23),"",IF(I23&gt;I22,1,IF(I23&lt;I22,-1,0))))</f>
      </c>
      <c r="L181" s="330">
        <f>IF(ISBLANK(I22),"",IF(ISBLANK(I24),"",IF(I24&gt;I22,1,IF(I24&lt;I22,-1,0))))</f>
      </c>
      <c r="M181" s="330">
        <f t="shared" si="49"/>
      </c>
      <c r="N181" s="330">
        <f t="shared" si="50"/>
      </c>
      <c r="O181" s="330">
        <f t="shared" si="51"/>
      </c>
      <c r="P181" s="330">
        <f t="shared" si="52"/>
      </c>
      <c r="Q181" s="330">
        <f t="shared" si="53"/>
      </c>
      <c r="R181" s="330">
        <f t="shared" si="54"/>
      </c>
      <c r="S181" s="331">
        <f t="shared" si="55"/>
        <v>0</v>
      </c>
    </row>
    <row r="182" spans="1:19" s="308" customFormat="1" ht="12.75" hidden="1">
      <c r="A182" s="307"/>
      <c r="B182" s="307"/>
      <c r="C182" s="319"/>
      <c r="D182" s="307"/>
      <c r="E182" s="307"/>
      <c r="F182" s="307"/>
      <c r="G182" s="307"/>
      <c r="H182" s="307"/>
      <c r="I182" s="307"/>
      <c r="J182" s="307"/>
      <c r="K182" s="307"/>
      <c r="L182" s="330">
        <f>IF(ISBLANK(I23),"",IF(ISBLANK(I24),"",IF(I24&gt;I23,1,IF(I24&lt;I23,-1,0))))</f>
      </c>
      <c r="M182" s="330">
        <f t="shared" si="49"/>
      </c>
      <c r="N182" s="330">
        <f t="shared" si="50"/>
      </c>
      <c r="O182" s="330">
        <f t="shared" si="51"/>
      </c>
      <c r="P182" s="330">
        <f t="shared" si="52"/>
      </c>
      <c r="Q182" s="330">
        <f t="shared" si="53"/>
      </c>
      <c r="R182" s="330">
        <f t="shared" si="54"/>
      </c>
      <c r="S182" s="331">
        <f t="shared" si="55"/>
        <v>0</v>
      </c>
    </row>
    <row r="183" spans="1:19" s="308" customFormat="1" ht="12.75" hidden="1">
      <c r="A183" s="307"/>
      <c r="B183" s="307"/>
      <c r="C183" s="319"/>
      <c r="D183" s="307"/>
      <c r="E183" s="307"/>
      <c r="F183" s="307"/>
      <c r="G183" s="307"/>
      <c r="H183" s="307"/>
      <c r="I183" s="307"/>
      <c r="J183" s="307"/>
      <c r="K183" s="307"/>
      <c r="L183" s="307"/>
      <c r="M183" s="330">
        <f t="shared" si="49"/>
      </c>
      <c r="N183" s="330">
        <f t="shared" si="50"/>
      </c>
      <c r="O183" s="330">
        <f t="shared" si="51"/>
      </c>
      <c r="P183" s="330">
        <f t="shared" si="52"/>
      </c>
      <c r="Q183" s="330">
        <f t="shared" si="53"/>
      </c>
      <c r="R183" s="330">
        <f t="shared" si="54"/>
      </c>
      <c r="S183" s="331">
        <f t="shared" si="55"/>
        <v>0</v>
      </c>
    </row>
    <row r="184" spans="1:19" s="308" customFormat="1" ht="12.75" hidden="1">
      <c r="A184" s="307"/>
      <c r="B184" s="307"/>
      <c r="C184" s="319"/>
      <c r="D184" s="307"/>
      <c r="E184" s="307"/>
      <c r="F184" s="307"/>
      <c r="G184" s="307"/>
      <c r="H184" s="307"/>
      <c r="I184" s="307"/>
      <c r="J184" s="307"/>
      <c r="K184" s="307"/>
      <c r="L184" s="307"/>
      <c r="M184" s="330"/>
      <c r="N184" s="330">
        <f t="shared" si="50"/>
      </c>
      <c r="O184" s="330">
        <f t="shared" si="51"/>
      </c>
      <c r="P184" s="330">
        <f t="shared" si="52"/>
      </c>
      <c r="Q184" s="330">
        <f t="shared" si="53"/>
      </c>
      <c r="R184" s="330">
        <f t="shared" si="54"/>
      </c>
      <c r="S184" s="331">
        <f t="shared" si="55"/>
        <v>0</v>
      </c>
    </row>
    <row r="185" spans="1:19" s="308" customFormat="1" ht="12.75" hidden="1">
      <c r="A185" s="307"/>
      <c r="B185" s="307"/>
      <c r="C185" s="319"/>
      <c r="D185" s="307"/>
      <c r="E185" s="307"/>
      <c r="F185" s="307"/>
      <c r="G185" s="307"/>
      <c r="H185" s="307"/>
      <c r="I185" s="307"/>
      <c r="J185" s="307"/>
      <c r="K185" s="307"/>
      <c r="L185" s="307"/>
      <c r="M185" s="330"/>
      <c r="N185" s="330"/>
      <c r="O185" s="330">
        <f t="shared" si="51"/>
      </c>
      <c r="P185" s="330">
        <f t="shared" si="52"/>
      </c>
      <c r="Q185" s="330">
        <f t="shared" si="53"/>
      </c>
      <c r="R185" s="330">
        <f t="shared" si="54"/>
      </c>
      <c r="S185" s="331">
        <f t="shared" si="55"/>
        <v>0</v>
      </c>
    </row>
    <row r="186" spans="1:19" s="308" customFormat="1" ht="14.25" customHeight="1" hidden="1">
      <c r="A186" s="307"/>
      <c r="B186" s="307"/>
      <c r="C186" s="319"/>
      <c r="D186" s="307"/>
      <c r="E186" s="307"/>
      <c r="F186" s="307"/>
      <c r="G186" s="307"/>
      <c r="H186" s="307"/>
      <c r="I186" s="307"/>
      <c r="J186" s="307"/>
      <c r="K186" s="307"/>
      <c r="L186" s="307"/>
      <c r="M186" s="330"/>
      <c r="N186" s="330"/>
      <c r="O186" s="330"/>
      <c r="P186" s="330">
        <f t="shared" si="52"/>
      </c>
      <c r="Q186" s="330">
        <f t="shared" si="53"/>
      </c>
      <c r="R186" s="330">
        <f t="shared" si="54"/>
      </c>
      <c r="S186" s="331">
        <f t="shared" si="55"/>
        <v>0</v>
      </c>
    </row>
    <row r="187" spans="1:19" s="308" customFormat="1" ht="12.75" hidden="1">
      <c r="A187" s="307"/>
      <c r="B187" s="307"/>
      <c r="C187" s="319"/>
      <c r="D187" s="307"/>
      <c r="E187" s="307"/>
      <c r="F187" s="307"/>
      <c r="G187" s="307"/>
      <c r="H187" s="307"/>
      <c r="I187" s="307"/>
      <c r="J187" s="307"/>
      <c r="K187" s="307"/>
      <c r="L187" s="307"/>
      <c r="M187" s="330"/>
      <c r="N187" s="330"/>
      <c r="O187" s="330"/>
      <c r="P187" s="330"/>
      <c r="Q187" s="330">
        <f t="shared" si="53"/>
      </c>
      <c r="R187" s="330">
        <f t="shared" si="54"/>
      </c>
      <c r="S187" s="331">
        <f t="shared" si="55"/>
        <v>0</v>
      </c>
    </row>
    <row r="188" spans="1:19" s="308" customFormat="1" ht="13.5" hidden="1" thickBot="1">
      <c r="A188" s="307"/>
      <c r="B188" s="307"/>
      <c r="C188" s="332"/>
      <c r="D188" s="333"/>
      <c r="E188" s="333"/>
      <c r="F188" s="333"/>
      <c r="G188" s="333"/>
      <c r="H188" s="333"/>
      <c r="I188" s="333"/>
      <c r="J188" s="333"/>
      <c r="K188" s="333"/>
      <c r="L188" s="333"/>
      <c r="M188" s="334"/>
      <c r="N188" s="334"/>
      <c r="O188" s="334"/>
      <c r="P188" s="334"/>
      <c r="Q188" s="334"/>
      <c r="R188" s="334">
        <f t="shared" si="54"/>
      </c>
      <c r="S188" s="335">
        <f t="shared" si="55"/>
        <v>0</v>
      </c>
    </row>
    <row r="189" spans="1:19" s="308" customFormat="1" ht="12.75" hidden="1">
      <c r="A189" s="307"/>
      <c r="B189" s="307"/>
      <c r="C189" s="307"/>
      <c r="D189" s="307"/>
      <c r="E189" s="307"/>
      <c r="F189" s="307"/>
      <c r="G189" s="307"/>
      <c r="H189" s="307"/>
      <c r="I189" s="307"/>
      <c r="J189" s="336" t="s">
        <v>58</v>
      </c>
      <c r="K189" s="336"/>
      <c r="L189" s="307"/>
      <c r="M189" s="307"/>
      <c r="N189" s="307"/>
      <c r="O189" s="307"/>
      <c r="P189" s="307"/>
      <c r="Q189" s="307"/>
      <c r="R189" s="307"/>
      <c r="S189" s="321">
        <f>SUM(S174:S188)</f>
        <v>-1</v>
      </c>
    </row>
    <row r="190" s="308" customFormat="1" ht="12.75" hidden="1">
      <c r="A190" s="307"/>
    </row>
    <row r="191" spans="1:9" s="308" customFormat="1" ht="12.75" hidden="1">
      <c r="A191" s="307"/>
      <c r="B191" s="348"/>
      <c r="C191" s="349" t="s">
        <v>331</v>
      </c>
      <c r="D191" s="349"/>
      <c r="E191" s="349"/>
      <c r="F191" s="349"/>
      <c r="G191" s="349"/>
      <c r="H191" s="349"/>
      <c r="I191" s="350"/>
    </row>
    <row r="192" spans="1:9" s="308" customFormat="1" ht="12.75" hidden="1">
      <c r="A192" s="307"/>
      <c r="B192" s="336" t="s">
        <v>33</v>
      </c>
      <c r="C192" s="339" t="s">
        <v>34</v>
      </c>
      <c r="D192" s="339" t="str">
        <f aca="true" t="shared" si="56" ref="D192:I192">+D14</f>
        <v>Benzene</v>
      </c>
      <c r="E192" s="339" t="str">
        <f t="shared" si="56"/>
        <v>Toluene</v>
      </c>
      <c r="F192" s="339" t="str">
        <f t="shared" si="56"/>
        <v>Naphthalene</v>
      </c>
      <c r="G192" s="339" t="str">
        <f t="shared" si="56"/>
        <v>Xylenes</v>
      </c>
      <c r="H192" s="339" t="str">
        <f t="shared" si="56"/>
        <v>MTBE</v>
      </c>
      <c r="I192" s="339" t="str">
        <f t="shared" si="56"/>
        <v>Ethylbenzene</v>
      </c>
    </row>
    <row r="193" spans="2:46" ht="12.75" hidden="1">
      <c r="B193" s="330" t="s">
        <v>45</v>
      </c>
      <c r="C193" s="351">
        <v>1</v>
      </c>
      <c r="D193" s="352">
        <f aca="true" t="shared" si="57" ref="D193:I202">IF(ISBLANK(D15),-1,IF(ISTEXT(D15),"TEXT",IF(D15&lt;=0,"VALUE ≤ 0",-1)))</f>
        <v>-1</v>
      </c>
      <c r="E193" s="352">
        <f t="shared" si="57"/>
        <v>-1</v>
      </c>
      <c r="F193" s="352">
        <f t="shared" si="57"/>
        <v>-1</v>
      </c>
      <c r="G193" s="352">
        <f t="shared" si="57"/>
        <v>-1</v>
      </c>
      <c r="H193" s="352">
        <f t="shared" si="57"/>
        <v>-1</v>
      </c>
      <c r="I193" s="352">
        <f t="shared" si="57"/>
        <v>-1</v>
      </c>
      <c r="J193" s="312"/>
      <c r="K193" s="312"/>
      <c r="AN193" s="308"/>
      <c r="AO193" s="308"/>
      <c r="AP193" s="308"/>
      <c r="AQ193" s="308"/>
      <c r="AR193" s="308"/>
      <c r="AS193" s="308"/>
      <c r="AT193" s="308"/>
    </row>
    <row r="194" spans="2:46" ht="12.75" hidden="1">
      <c r="B194" s="336" t="s">
        <v>47</v>
      </c>
      <c r="C194" s="351">
        <v>2</v>
      </c>
      <c r="D194" s="352">
        <f t="shared" si="57"/>
        <v>-1</v>
      </c>
      <c r="E194" s="352">
        <f t="shared" si="57"/>
        <v>-1</v>
      </c>
      <c r="F194" s="352">
        <f t="shared" si="57"/>
        <v>-1</v>
      </c>
      <c r="G194" s="352">
        <f t="shared" si="57"/>
        <v>-1</v>
      </c>
      <c r="H194" s="352">
        <f t="shared" si="57"/>
        <v>-1</v>
      </c>
      <c r="I194" s="352">
        <f t="shared" si="57"/>
        <v>-1</v>
      </c>
      <c r="J194" s="312"/>
      <c r="K194" s="312"/>
      <c r="AN194" s="308"/>
      <c r="AO194" s="308"/>
      <c r="AP194" s="308"/>
      <c r="AQ194" s="308"/>
      <c r="AR194" s="308"/>
      <c r="AS194" s="308"/>
      <c r="AT194" s="308"/>
    </row>
    <row r="195" spans="2:11" ht="12.75" hidden="1">
      <c r="B195" s="336" t="s">
        <v>48</v>
      </c>
      <c r="C195" s="351">
        <v>3</v>
      </c>
      <c r="D195" s="352">
        <f t="shared" si="57"/>
        <v>-1</v>
      </c>
      <c r="E195" s="352">
        <f t="shared" si="57"/>
        <v>-1</v>
      </c>
      <c r="F195" s="352">
        <f t="shared" si="57"/>
        <v>-1</v>
      </c>
      <c r="G195" s="352">
        <f t="shared" si="57"/>
        <v>-1</v>
      </c>
      <c r="H195" s="352">
        <f t="shared" si="57"/>
        <v>-1</v>
      </c>
      <c r="I195" s="352">
        <f t="shared" si="57"/>
        <v>-1</v>
      </c>
      <c r="J195" s="312"/>
      <c r="K195" s="312"/>
    </row>
    <row r="196" spans="2:11" ht="12.75" hidden="1">
      <c r="B196" s="336" t="s">
        <v>49</v>
      </c>
      <c r="C196" s="351">
        <v>4</v>
      </c>
      <c r="D196" s="352">
        <f t="shared" si="57"/>
        <v>-1</v>
      </c>
      <c r="E196" s="352">
        <f t="shared" si="57"/>
        <v>-1</v>
      </c>
      <c r="F196" s="352">
        <f t="shared" si="57"/>
        <v>-1</v>
      </c>
      <c r="G196" s="352">
        <f t="shared" si="57"/>
        <v>-1</v>
      </c>
      <c r="H196" s="352">
        <f t="shared" si="57"/>
        <v>-1</v>
      </c>
      <c r="I196" s="352">
        <f t="shared" si="57"/>
        <v>-1</v>
      </c>
      <c r="J196" s="312"/>
      <c r="K196" s="312"/>
    </row>
    <row r="197" spans="2:11" ht="12.75" hidden="1">
      <c r="B197" s="336" t="s">
        <v>50</v>
      </c>
      <c r="C197" s="351">
        <v>5</v>
      </c>
      <c r="D197" s="352">
        <f t="shared" si="57"/>
        <v>-1</v>
      </c>
      <c r="E197" s="352">
        <f t="shared" si="57"/>
        <v>-1</v>
      </c>
      <c r="F197" s="352">
        <f t="shared" si="57"/>
        <v>-1</v>
      </c>
      <c r="G197" s="352">
        <f t="shared" si="57"/>
        <v>-1</v>
      </c>
      <c r="H197" s="352">
        <f t="shared" si="57"/>
        <v>-1</v>
      </c>
      <c r="I197" s="352">
        <f t="shared" si="57"/>
        <v>-1</v>
      </c>
      <c r="J197" s="312"/>
      <c r="K197" s="312"/>
    </row>
    <row r="198" spans="2:11" ht="12.75" hidden="1">
      <c r="B198" s="336" t="s">
        <v>51</v>
      </c>
      <c r="C198" s="351">
        <v>6</v>
      </c>
      <c r="D198" s="352">
        <f t="shared" si="57"/>
        <v>-1</v>
      </c>
      <c r="E198" s="352">
        <f t="shared" si="57"/>
        <v>-1</v>
      </c>
      <c r="F198" s="352">
        <f t="shared" si="57"/>
        <v>-1</v>
      </c>
      <c r="G198" s="352">
        <f t="shared" si="57"/>
        <v>-1</v>
      </c>
      <c r="H198" s="352">
        <f t="shared" si="57"/>
        <v>-1</v>
      </c>
      <c r="I198" s="352">
        <f t="shared" si="57"/>
        <v>-1</v>
      </c>
      <c r="J198" s="312"/>
      <c r="K198" s="312"/>
    </row>
    <row r="199" spans="2:11" ht="12.75" hidden="1">
      <c r="B199" s="336" t="s">
        <v>52</v>
      </c>
      <c r="C199" s="351">
        <v>7</v>
      </c>
      <c r="D199" s="352">
        <f t="shared" si="57"/>
        <v>-1</v>
      </c>
      <c r="E199" s="352">
        <f t="shared" si="57"/>
        <v>-1</v>
      </c>
      <c r="F199" s="352">
        <f t="shared" si="57"/>
        <v>-1</v>
      </c>
      <c r="G199" s="352">
        <f t="shared" si="57"/>
        <v>-1</v>
      </c>
      <c r="H199" s="352">
        <f t="shared" si="57"/>
        <v>-1</v>
      </c>
      <c r="I199" s="352">
        <f t="shared" si="57"/>
        <v>-1</v>
      </c>
      <c r="J199" s="312"/>
      <c r="K199" s="312"/>
    </row>
    <row r="200" spans="2:11" ht="12.75" hidden="1">
      <c r="B200" s="330" t="s">
        <v>53</v>
      </c>
      <c r="C200" s="351">
        <v>8</v>
      </c>
      <c r="D200" s="352">
        <f t="shared" si="57"/>
        <v>-1</v>
      </c>
      <c r="E200" s="352">
        <f t="shared" si="57"/>
        <v>-1</v>
      </c>
      <c r="F200" s="352">
        <f t="shared" si="57"/>
        <v>-1</v>
      </c>
      <c r="G200" s="352">
        <f t="shared" si="57"/>
        <v>-1</v>
      </c>
      <c r="H200" s="352">
        <f t="shared" si="57"/>
        <v>-1</v>
      </c>
      <c r="I200" s="352">
        <f t="shared" si="57"/>
        <v>-1</v>
      </c>
      <c r="J200" s="312"/>
      <c r="K200" s="312"/>
    </row>
    <row r="201" spans="2:11" ht="12.75" hidden="1">
      <c r="B201" s="330" t="s">
        <v>54</v>
      </c>
      <c r="C201" s="351">
        <v>9</v>
      </c>
      <c r="D201" s="352">
        <f t="shared" si="57"/>
        <v>-1</v>
      </c>
      <c r="E201" s="352">
        <f t="shared" si="57"/>
        <v>-1</v>
      </c>
      <c r="F201" s="352">
        <f t="shared" si="57"/>
        <v>-1</v>
      </c>
      <c r="G201" s="352">
        <f t="shared" si="57"/>
        <v>-1</v>
      </c>
      <c r="H201" s="352">
        <f t="shared" si="57"/>
        <v>-1</v>
      </c>
      <c r="I201" s="352">
        <f t="shared" si="57"/>
        <v>-1</v>
      </c>
      <c r="J201" s="312"/>
      <c r="K201" s="312"/>
    </row>
    <row r="202" spans="2:11" ht="12.75" hidden="1">
      <c r="B202" s="336" t="s">
        <v>55</v>
      </c>
      <c r="C202" s="351">
        <v>10</v>
      </c>
      <c r="D202" s="352">
        <f t="shared" si="57"/>
        <v>-1</v>
      </c>
      <c r="E202" s="352">
        <f t="shared" si="57"/>
        <v>-1</v>
      </c>
      <c r="F202" s="352">
        <f t="shared" si="57"/>
        <v>-1</v>
      </c>
      <c r="G202" s="352">
        <f t="shared" si="57"/>
        <v>-1</v>
      </c>
      <c r="H202" s="352">
        <f t="shared" si="57"/>
        <v>-1</v>
      </c>
      <c r="I202" s="352">
        <f t="shared" si="57"/>
        <v>-1</v>
      </c>
      <c r="J202" s="312"/>
      <c r="K202" s="312"/>
    </row>
    <row r="203" spans="2:11" ht="12.75" hidden="1">
      <c r="B203" s="336"/>
      <c r="C203" s="351">
        <v>11</v>
      </c>
      <c r="D203" s="352">
        <f aca="true" t="shared" si="58" ref="D203:I208">IF(ISBLANK(D25),-1,IF(ISTEXT(D25),"TEXT",IF(D25&lt;=0,"VALUE ≤ 0",-1)))</f>
        <v>-1</v>
      </c>
      <c r="E203" s="352">
        <f t="shared" si="58"/>
        <v>-1</v>
      </c>
      <c r="F203" s="352">
        <f t="shared" si="58"/>
        <v>-1</v>
      </c>
      <c r="G203" s="352">
        <f t="shared" si="58"/>
        <v>-1</v>
      </c>
      <c r="H203" s="352">
        <f t="shared" si="58"/>
        <v>-1</v>
      </c>
      <c r="I203" s="352">
        <f t="shared" si="58"/>
        <v>-1</v>
      </c>
      <c r="J203" s="312"/>
      <c r="K203" s="312"/>
    </row>
    <row r="204" spans="2:11" ht="12.75" hidden="1">
      <c r="B204" s="336"/>
      <c r="C204" s="351">
        <v>12</v>
      </c>
      <c r="D204" s="352">
        <f t="shared" si="58"/>
        <v>-1</v>
      </c>
      <c r="E204" s="352">
        <f t="shared" si="58"/>
        <v>-1</v>
      </c>
      <c r="F204" s="352">
        <f t="shared" si="58"/>
        <v>-1</v>
      </c>
      <c r="G204" s="352">
        <f t="shared" si="58"/>
        <v>-1</v>
      </c>
      <c r="H204" s="352">
        <f t="shared" si="58"/>
        <v>-1</v>
      </c>
      <c r="I204" s="352">
        <f t="shared" si="58"/>
        <v>-1</v>
      </c>
      <c r="J204" s="312"/>
      <c r="K204" s="312"/>
    </row>
    <row r="205" spans="2:11" ht="12.75" hidden="1">
      <c r="B205" s="336"/>
      <c r="C205" s="351">
        <v>13</v>
      </c>
      <c r="D205" s="352">
        <f t="shared" si="58"/>
        <v>-1</v>
      </c>
      <c r="E205" s="352">
        <f t="shared" si="58"/>
        <v>-1</v>
      </c>
      <c r="F205" s="352">
        <f t="shared" si="58"/>
        <v>-1</v>
      </c>
      <c r="G205" s="352">
        <f t="shared" si="58"/>
        <v>-1</v>
      </c>
      <c r="H205" s="352">
        <f t="shared" si="58"/>
        <v>-1</v>
      </c>
      <c r="I205" s="352">
        <f t="shared" si="58"/>
        <v>-1</v>
      </c>
      <c r="J205" s="312"/>
      <c r="K205" s="312"/>
    </row>
    <row r="206" spans="2:11" ht="12.75" hidden="1">
      <c r="B206" s="336"/>
      <c r="C206" s="351">
        <v>14</v>
      </c>
      <c r="D206" s="352">
        <f t="shared" si="58"/>
        <v>-1</v>
      </c>
      <c r="E206" s="352">
        <f t="shared" si="58"/>
        <v>-1</v>
      </c>
      <c r="F206" s="352">
        <f t="shared" si="58"/>
        <v>-1</v>
      </c>
      <c r="G206" s="352">
        <f t="shared" si="58"/>
        <v>-1</v>
      </c>
      <c r="H206" s="352">
        <f t="shared" si="58"/>
        <v>-1</v>
      </c>
      <c r="I206" s="352">
        <f t="shared" si="58"/>
        <v>-1</v>
      </c>
      <c r="J206" s="312"/>
      <c r="K206" s="312"/>
    </row>
    <row r="207" spans="2:11" ht="12.75" hidden="1">
      <c r="B207" s="336"/>
      <c r="C207" s="351">
        <v>15</v>
      </c>
      <c r="D207" s="352">
        <f t="shared" si="58"/>
        <v>-1</v>
      </c>
      <c r="E207" s="352">
        <f t="shared" si="58"/>
        <v>-1</v>
      </c>
      <c r="F207" s="352">
        <f t="shared" si="58"/>
        <v>-1</v>
      </c>
      <c r="G207" s="352">
        <f t="shared" si="58"/>
        <v>-1</v>
      </c>
      <c r="H207" s="352">
        <f t="shared" si="58"/>
        <v>-1</v>
      </c>
      <c r="I207" s="352">
        <f t="shared" si="58"/>
        <v>-1</v>
      </c>
      <c r="J207" s="312"/>
      <c r="K207" s="312"/>
    </row>
    <row r="208" spans="2:11" ht="12.75" hidden="1">
      <c r="B208" s="336"/>
      <c r="C208" s="351">
        <v>16</v>
      </c>
      <c r="D208" s="352">
        <f t="shared" si="58"/>
        <v>-1</v>
      </c>
      <c r="E208" s="352">
        <f t="shared" si="58"/>
        <v>-1</v>
      </c>
      <c r="F208" s="352">
        <f t="shared" si="58"/>
        <v>-1</v>
      </c>
      <c r="G208" s="352">
        <f t="shared" si="58"/>
        <v>-1</v>
      </c>
      <c r="H208" s="352">
        <f t="shared" si="58"/>
        <v>-1</v>
      </c>
      <c r="I208" s="352">
        <f t="shared" si="58"/>
        <v>-1</v>
      </c>
      <c r="J208" s="312"/>
      <c r="K208" s="312"/>
    </row>
    <row r="209" spans="2:11" ht="12.75" hidden="1">
      <c r="B209" s="353" t="s">
        <v>56</v>
      </c>
      <c r="C209" s="354" t="s">
        <v>57</v>
      </c>
      <c r="D209" s="355" t="str">
        <f aca="true" t="shared" si="59" ref="D209:I209">IF(SUM(D193:D208)=-16,"no err","ERROR")</f>
        <v>no err</v>
      </c>
      <c r="E209" s="355" t="str">
        <f t="shared" si="59"/>
        <v>no err</v>
      </c>
      <c r="F209" s="355" t="str">
        <f t="shared" si="59"/>
        <v>no err</v>
      </c>
      <c r="G209" s="355" t="str">
        <f t="shared" si="59"/>
        <v>no err</v>
      </c>
      <c r="H209" s="355" t="str">
        <f t="shared" si="59"/>
        <v>no err</v>
      </c>
      <c r="I209" s="355" t="str">
        <f t="shared" si="59"/>
        <v>no err</v>
      </c>
      <c r="J209" s="312"/>
      <c r="K209" s="312"/>
    </row>
    <row r="210" spans="2:11" ht="12.75" hidden="1">
      <c r="B210" s="307"/>
      <c r="C210" s="307"/>
      <c r="D210" s="307"/>
      <c r="E210" s="307"/>
      <c r="F210" s="307"/>
      <c r="G210" s="307"/>
      <c r="H210" s="307"/>
      <c r="I210" s="307"/>
      <c r="J210" s="312"/>
      <c r="K210" s="312"/>
    </row>
    <row r="211" spans="2:11" ht="12.75" hidden="1">
      <c r="B211" s="348" t="s">
        <v>330</v>
      </c>
      <c r="C211" s="349"/>
      <c r="D211" s="349"/>
      <c r="E211" s="349"/>
      <c r="F211" s="350"/>
      <c r="G211" s="307"/>
      <c r="H211" s="307"/>
      <c r="I211" s="307"/>
      <c r="J211" s="312"/>
      <c r="K211" s="312"/>
    </row>
    <row r="212" spans="2:11" ht="12.75" hidden="1">
      <c r="B212" s="336" t="s">
        <v>59</v>
      </c>
      <c r="C212" s="339" t="s">
        <v>60</v>
      </c>
      <c r="D212" s="339" t="s">
        <v>61</v>
      </c>
      <c r="E212" s="339" t="s">
        <v>62</v>
      </c>
      <c r="F212" s="339" t="s">
        <v>63</v>
      </c>
      <c r="G212" s="307"/>
      <c r="H212" s="307"/>
      <c r="I212" s="307"/>
      <c r="J212" s="312"/>
      <c r="K212" s="312"/>
    </row>
    <row r="213" spans="2:11" ht="12.75" hidden="1">
      <c r="B213" s="336" t="s">
        <v>45</v>
      </c>
      <c r="C213" s="356">
        <f aca="true" t="shared" si="60" ref="C213:C228">IF(ISBLANK(C15),"BLANK",C15)</f>
        <v>35213</v>
      </c>
      <c r="D213" s="352">
        <f aca="true" t="shared" si="61" ref="D213:D228">IF(ISTEXT(C15),"TEXT",-1)</f>
        <v>-1</v>
      </c>
      <c r="E213" s="357">
        <v>-1</v>
      </c>
      <c r="F213" s="357">
        <f aca="true" t="shared" si="62" ref="F213:F228">IF(COUNTA(D15:I15)&gt;0,IF(ISBLANK(C15),"NO DATE",-1),-1)</f>
        <v>-1</v>
      </c>
      <c r="G213" s="307"/>
      <c r="H213" s="307"/>
      <c r="I213" s="307"/>
      <c r="J213" s="312"/>
      <c r="K213" s="312"/>
    </row>
    <row r="214" spans="2:11" ht="12.75" hidden="1">
      <c r="B214" s="336"/>
      <c r="C214" s="356">
        <f t="shared" si="60"/>
        <v>35243</v>
      </c>
      <c r="D214" s="352">
        <f t="shared" si="61"/>
        <v>-1</v>
      </c>
      <c r="E214" s="357">
        <f aca="true" t="shared" si="63" ref="E214:E228">IF(ISBLANK(C16),-1,IF(C16&gt;C15,-1,"NOT CONSEC"))</f>
        <v>-1</v>
      </c>
      <c r="F214" s="357">
        <f t="shared" si="62"/>
        <v>-1</v>
      </c>
      <c r="G214" s="307"/>
      <c r="H214" s="307"/>
      <c r="I214" s="307"/>
      <c r="J214" s="312"/>
      <c r="K214" s="312"/>
    </row>
    <row r="215" spans="2:11" ht="12.75" hidden="1">
      <c r="B215" s="336"/>
      <c r="C215" s="356">
        <f t="shared" si="60"/>
        <v>35394</v>
      </c>
      <c r="D215" s="352">
        <f t="shared" si="61"/>
        <v>-1</v>
      </c>
      <c r="E215" s="357">
        <f t="shared" si="63"/>
        <v>-1</v>
      </c>
      <c r="F215" s="357">
        <f t="shared" si="62"/>
        <v>-1</v>
      </c>
      <c r="G215" s="307"/>
      <c r="H215" s="307"/>
      <c r="I215" s="307"/>
      <c r="J215" s="312"/>
      <c r="K215" s="312"/>
    </row>
    <row r="216" spans="2:11" ht="12.75" hidden="1">
      <c r="B216" s="336"/>
      <c r="C216" s="356">
        <f t="shared" si="60"/>
        <v>35493</v>
      </c>
      <c r="D216" s="352">
        <f t="shared" si="61"/>
        <v>-1</v>
      </c>
      <c r="E216" s="357">
        <f t="shared" si="63"/>
        <v>-1</v>
      </c>
      <c r="F216" s="357">
        <f t="shared" si="62"/>
        <v>-1</v>
      </c>
      <c r="G216" s="307"/>
      <c r="H216" s="307"/>
      <c r="I216" s="307"/>
      <c r="J216" s="312"/>
      <c r="K216" s="312"/>
    </row>
    <row r="217" spans="2:11" ht="12.75" hidden="1">
      <c r="B217" s="336" t="s">
        <v>64</v>
      </c>
      <c r="C217" s="356">
        <f t="shared" si="60"/>
        <v>35578</v>
      </c>
      <c r="D217" s="352">
        <f t="shared" si="61"/>
        <v>-1</v>
      </c>
      <c r="E217" s="357">
        <f t="shared" si="63"/>
        <v>-1</v>
      </c>
      <c r="F217" s="357">
        <f t="shared" si="62"/>
        <v>-1</v>
      </c>
      <c r="G217" s="307"/>
      <c r="H217" s="307"/>
      <c r="I217" s="307"/>
      <c r="J217" s="312"/>
      <c r="K217" s="312"/>
    </row>
    <row r="218" spans="2:11" ht="12.75" hidden="1">
      <c r="B218" s="336" t="s">
        <v>65</v>
      </c>
      <c r="C218" s="356">
        <f t="shared" si="60"/>
        <v>35668</v>
      </c>
      <c r="D218" s="352">
        <f t="shared" si="61"/>
        <v>-1</v>
      </c>
      <c r="E218" s="357">
        <f t="shared" si="63"/>
        <v>-1</v>
      </c>
      <c r="F218" s="357">
        <f t="shared" si="62"/>
        <v>-1</v>
      </c>
      <c r="G218" s="307"/>
      <c r="H218" s="307"/>
      <c r="I218" s="307"/>
      <c r="J218" s="312"/>
      <c r="K218" s="312"/>
    </row>
    <row r="219" spans="2:11" ht="12.75" hidden="1">
      <c r="B219" s="336" t="s">
        <v>66</v>
      </c>
      <c r="C219" s="356">
        <f t="shared" si="60"/>
        <v>35843</v>
      </c>
      <c r="D219" s="352">
        <f t="shared" si="61"/>
        <v>-1</v>
      </c>
      <c r="E219" s="357">
        <f t="shared" si="63"/>
        <v>-1</v>
      </c>
      <c r="F219" s="357">
        <f t="shared" si="62"/>
        <v>-1</v>
      </c>
      <c r="G219" s="307"/>
      <c r="H219" s="307"/>
      <c r="I219" s="307"/>
      <c r="J219" s="312"/>
      <c r="K219" s="312"/>
    </row>
    <row r="220" spans="2:11" ht="12.75" hidden="1">
      <c r="B220" s="330" t="s">
        <v>67</v>
      </c>
      <c r="C220" s="356">
        <f t="shared" si="60"/>
        <v>35957</v>
      </c>
      <c r="D220" s="352">
        <f t="shared" si="61"/>
        <v>-1</v>
      </c>
      <c r="E220" s="357">
        <f t="shared" si="63"/>
        <v>-1</v>
      </c>
      <c r="F220" s="357">
        <f t="shared" si="62"/>
        <v>-1</v>
      </c>
      <c r="G220" s="307"/>
      <c r="H220" s="307"/>
      <c r="I220" s="307"/>
      <c r="J220" s="312"/>
      <c r="K220" s="312"/>
    </row>
    <row r="221" spans="2:11" ht="12.75" hidden="1">
      <c r="B221" s="336" t="s">
        <v>68</v>
      </c>
      <c r="C221" s="356">
        <f t="shared" si="60"/>
        <v>36052</v>
      </c>
      <c r="D221" s="352">
        <f t="shared" si="61"/>
        <v>-1</v>
      </c>
      <c r="E221" s="357">
        <f t="shared" si="63"/>
        <v>-1</v>
      </c>
      <c r="F221" s="357">
        <f t="shared" si="62"/>
        <v>-1</v>
      </c>
      <c r="G221" s="307"/>
      <c r="H221" s="307"/>
      <c r="I221" s="307"/>
      <c r="J221" s="312"/>
      <c r="K221" s="312"/>
    </row>
    <row r="222" spans="2:11" ht="12.75" hidden="1">
      <c r="B222" s="330" t="s">
        <v>332</v>
      </c>
      <c r="C222" s="356">
        <f t="shared" si="60"/>
        <v>36130</v>
      </c>
      <c r="D222" s="352">
        <f t="shared" si="61"/>
        <v>-1</v>
      </c>
      <c r="E222" s="357">
        <f t="shared" si="63"/>
        <v>-1</v>
      </c>
      <c r="F222" s="357">
        <f t="shared" si="62"/>
        <v>-1</v>
      </c>
      <c r="G222" s="307"/>
      <c r="H222" s="307"/>
      <c r="I222" s="307"/>
      <c r="J222" s="312"/>
      <c r="K222" s="312"/>
    </row>
    <row r="223" spans="2:11" ht="12.75" hidden="1">
      <c r="B223" s="336"/>
      <c r="C223" s="356">
        <f t="shared" si="60"/>
        <v>36225</v>
      </c>
      <c r="D223" s="352">
        <f t="shared" si="61"/>
        <v>-1</v>
      </c>
      <c r="E223" s="357">
        <f t="shared" si="63"/>
        <v>-1</v>
      </c>
      <c r="F223" s="357">
        <f t="shared" si="62"/>
        <v>-1</v>
      </c>
      <c r="G223" s="307"/>
      <c r="H223" s="307"/>
      <c r="I223" s="307"/>
      <c r="J223" s="312"/>
      <c r="K223" s="312"/>
    </row>
    <row r="224" spans="2:11" ht="12.75" hidden="1">
      <c r="B224" s="336"/>
      <c r="C224" s="356">
        <f t="shared" si="60"/>
        <v>36317</v>
      </c>
      <c r="D224" s="352">
        <f t="shared" si="61"/>
        <v>-1</v>
      </c>
      <c r="E224" s="357">
        <f t="shared" si="63"/>
        <v>-1</v>
      </c>
      <c r="F224" s="357">
        <f t="shared" si="62"/>
        <v>-1</v>
      </c>
      <c r="G224" s="307"/>
      <c r="H224" s="307"/>
      <c r="I224" s="307"/>
      <c r="J224" s="312"/>
      <c r="K224" s="312"/>
    </row>
    <row r="225" spans="2:11" ht="12.75" hidden="1">
      <c r="B225" s="336"/>
      <c r="C225" s="356">
        <f t="shared" si="60"/>
        <v>36430</v>
      </c>
      <c r="D225" s="352">
        <f t="shared" si="61"/>
        <v>-1</v>
      </c>
      <c r="E225" s="357">
        <f t="shared" si="63"/>
        <v>-1</v>
      </c>
      <c r="F225" s="357">
        <f t="shared" si="62"/>
        <v>-1</v>
      </c>
      <c r="G225" s="307"/>
      <c r="H225" s="307"/>
      <c r="I225" s="307"/>
      <c r="J225" s="312"/>
      <c r="K225" s="312"/>
    </row>
    <row r="226" spans="2:11" ht="12.75" hidden="1">
      <c r="B226" s="336"/>
      <c r="C226" s="356">
        <f t="shared" si="60"/>
        <v>36510</v>
      </c>
      <c r="D226" s="352">
        <f t="shared" si="61"/>
        <v>-1</v>
      </c>
      <c r="E226" s="357">
        <f t="shared" si="63"/>
        <v>-1</v>
      </c>
      <c r="F226" s="357">
        <f t="shared" si="62"/>
        <v>-1</v>
      </c>
      <c r="G226" s="307"/>
      <c r="H226" s="307"/>
      <c r="I226" s="307"/>
      <c r="J226" s="312"/>
      <c r="K226" s="312"/>
    </row>
    <row r="227" spans="2:11" ht="12.75" hidden="1">
      <c r="B227" s="336"/>
      <c r="C227" s="356">
        <f t="shared" si="60"/>
        <v>36600</v>
      </c>
      <c r="D227" s="352">
        <f t="shared" si="61"/>
        <v>-1</v>
      </c>
      <c r="E227" s="357">
        <f t="shared" si="63"/>
        <v>-1</v>
      </c>
      <c r="F227" s="357">
        <f t="shared" si="62"/>
        <v>-1</v>
      </c>
      <c r="G227" s="307"/>
      <c r="H227" s="307"/>
      <c r="I227" s="307"/>
      <c r="J227" s="312"/>
      <c r="K227" s="312"/>
    </row>
    <row r="228" spans="2:11" ht="12.75" hidden="1">
      <c r="B228" s="336"/>
      <c r="C228" s="356">
        <f t="shared" si="60"/>
        <v>36698</v>
      </c>
      <c r="D228" s="352">
        <f t="shared" si="61"/>
        <v>-1</v>
      </c>
      <c r="E228" s="357">
        <f t="shared" si="63"/>
        <v>-1</v>
      </c>
      <c r="F228" s="357">
        <f t="shared" si="62"/>
        <v>-1</v>
      </c>
      <c r="G228" s="307"/>
      <c r="H228" s="307"/>
      <c r="I228" s="307"/>
      <c r="J228" s="312"/>
      <c r="K228" s="312"/>
    </row>
    <row r="229" spans="2:11" ht="12.75" hidden="1">
      <c r="B229" s="353" t="s">
        <v>56</v>
      </c>
      <c r="C229" s="354" t="s">
        <v>69</v>
      </c>
      <c r="D229" s="355" t="str">
        <f>IF(SUM(D213:D228)=-16,"no err","ERROR")</f>
        <v>no err</v>
      </c>
      <c r="E229" s="355" t="str">
        <f>IF(SUM(E213:E228)=-16,"no err","ERROR")</f>
        <v>no err</v>
      </c>
      <c r="F229" s="355" t="str">
        <f>IF(SUM(F213:F228)=-16,"no err","ERROR")</f>
        <v>no err</v>
      </c>
      <c r="G229" s="307"/>
      <c r="H229" s="307"/>
      <c r="I229" s="307"/>
      <c r="J229" s="312"/>
      <c r="K229" s="312"/>
    </row>
    <row r="230" spans="2:11" ht="12.75" hidden="1">
      <c r="B230" s="307"/>
      <c r="C230" s="307"/>
      <c r="D230" s="307"/>
      <c r="E230" s="307"/>
      <c r="F230" s="307"/>
      <c r="G230" s="307"/>
      <c r="H230" s="307"/>
      <c r="I230" s="307"/>
      <c r="J230" s="312"/>
      <c r="K230" s="312"/>
    </row>
    <row r="231" spans="2:11" ht="12.75" hidden="1">
      <c r="B231" s="320"/>
      <c r="C231" s="307"/>
      <c r="D231" s="307"/>
      <c r="E231" s="307"/>
      <c r="F231" s="307"/>
      <c r="G231" s="307"/>
      <c r="H231" s="307"/>
      <c r="I231" s="307"/>
      <c r="J231" s="312"/>
      <c r="K231" s="312"/>
    </row>
  </sheetData>
  <sheetProtection/>
  <mergeCells count="1">
    <mergeCell ref="D13:I13"/>
  </mergeCells>
  <conditionalFormatting sqref="AL43:AM61 E45:I69 D45:D48 D68:D69">
    <cfRule type="cellIs" priority="1" dxfId="16" operator="equal" stopIfTrue="1">
      <formula>"CV &gt; 1"</formula>
    </cfRule>
  </conditionalFormatting>
  <conditionalFormatting sqref="D193:I208 D213:F228">
    <cfRule type="cellIs" priority="2" dxfId="17" operator="equal" stopIfTrue="1">
      <formula>-1</formula>
    </cfRule>
  </conditionalFormatting>
  <conditionalFormatting sqref="C34">
    <cfRule type="cellIs" priority="3" dxfId="18" operator="equal" stopIfTrue="1">
      <formula>"NO"</formula>
    </cfRule>
    <cfRule type="cellIs" priority="4" dxfId="18" operator="equal" stopIfTrue="1">
      <formula>"ERROR"</formula>
    </cfRule>
  </conditionalFormatting>
  <conditionalFormatting sqref="D35:I35">
    <cfRule type="cellIs" priority="5" dxfId="19" operator="equal" stopIfTrue="1">
      <formula>"Expanding"</formula>
    </cfRule>
    <cfRule type="cellIs" priority="6" dxfId="20" operator="equal" stopIfTrue="1">
      <formula>"undetermined"</formula>
    </cfRule>
  </conditionalFormatting>
  <dataValidations count="1">
    <dataValidation type="list" allowBlank="1" showInputMessage="1" showErrorMessage="1" sqref="D46">
      <formula1>Mann_Chemical</formula1>
    </dataValidation>
  </dataValidations>
  <printOptions horizontalCentered="1"/>
  <pageMargins left="0.37" right="0.3" top="0.42" bottom="0.3" header="0.18" footer="0.43"/>
  <pageSetup blackAndWhite="1" horizontalDpi="240" verticalDpi="240" orientation="portrait" r:id="rId4"/>
  <headerFooter alignWithMargins="0">
    <oddHeader>&amp;L&amp;8Washington State Department of Ecology: TCP program&amp;R&amp;8&amp;D</oddHeader>
  </headerFooter>
  <ignoredErrors>
    <ignoredError sqref="M114 M133" formula="1"/>
  </ignoredErrors>
  <drawing r:id="rId3"/>
  <legacyDrawing r:id="rId2"/>
</worksheet>
</file>

<file path=xl/worksheets/sheet8.xml><?xml version="1.0" encoding="utf-8"?>
<worksheet xmlns="http://schemas.openxmlformats.org/spreadsheetml/2006/main" xmlns:r="http://schemas.openxmlformats.org/officeDocument/2006/relationships">
  <sheetPr codeName="Sheet3" transitionEvaluation="1"/>
  <dimension ref="A1:V115"/>
  <sheetViews>
    <sheetView showGridLines="0" showRowColHeaders="0" zoomScalePageLayoutView="0" workbookViewId="0" topLeftCell="A1">
      <selection activeCell="E14" sqref="E14"/>
    </sheetView>
  </sheetViews>
  <sheetFormatPr defaultColWidth="15.66015625" defaultRowHeight="12.75"/>
  <cols>
    <col min="1" max="1" width="1.5" style="199" customWidth="1"/>
    <col min="2" max="2" width="12.83203125" style="199" customWidth="1"/>
    <col min="3" max="3" width="8.5" style="199" customWidth="1"/>
    <col min="4" max="4" width="12.5" style="199" customWidth="1"/>
    <col min="5" max="10" width="11.33203125" style="199" customWidth="1"/>
    <col min="11" max="11" width="7.5" style="199" customWidth="1"/>
    <col min="12" max="16384" width="15.66015625" style="199" customWidth="1"/>
  </cols>
  <sheetData>
    <row r="1" spans="1:11" ht="15" customHeight="1">
      <c r="A1" s="680" t="s">
        <v>416</v>
      </c>
      <c r="B1" s="609"/>
      <c r="C1" s="401"/>
      <c r="D1" s="401"/>
      <c r="E1" s="401"/>
      <c r="F1" s="401"/>
      <c r="G1" s="401"/>
      <c r="H1" s="401"/>
      <c r="I1" s="401"/>
      <c r="J1" s="401"/>
      <c r="K1" s="203"/>
    </row>
    <row r="2" spans="1:11" ht="16.5" customHeight="1">
      <c r="A2" s="999"/>
      <c r="B2" s="998"/>
      <c r="C2" s="849" t="s">
        <v>421</v>
      </c>
      <c r="D2" s="204"/>
      <c r="E2" s="204"/>
      <c r="F2" s="204"/>
      <c r="G2" s="204"/>
      <c r="H2" s="204"/>
      <c r="I2" s="204"/>
      <c r="J2" s="205"/>
      <c r="K2" s="203"/>
    </row>
    <row r="3" spans="1:11" s="200" customFormat="1" ht="10.5" customHeight="1">
      <c r="A3" s="206"/>
      <c r="B3" s="207"/>
      <c r="C3" s="208" t="str">
        <f>Historical_data_entry_1!D2</f>
        <v>Site Name:</v>
      </c>
      <c r="D3" s="1083" t="s">
        <v>446</v>
      </c>
      <c r="E3" s="1084"/>
      <c r="F3" s="1085"/>
      <c r="G3" s="207"/>
      <c r="H3" s="207"/>
      <c r="I3" s="207"/>
      <c r="J3" s="209"/>
      <c r="K3" s="206"/>
    </row>
    <row r="4" spans="1:11" s="200" customFormat="1" ht="10.5" customHeight="1">
      <c r="A4" s="206"/>
      <c r="B4" s="206"/>
      <c r="C4" s="208" t="str">
        <f>Historical_data_entry_1!D3</f>
        <v>Site Address:</v>
      </c>
      <c r="D4" s="1083" t="s">
        <v>410</v>
      </c>
      <c r="E4" s="1086"/>
      <c r="F4" s="1087"/>
      <c r="G4" s="206"/>
      <c r="H4" s="206"/>
      <c r="I4" s="206"/>
      <c r="J4" s="206"/>
      <c r="K4" s="206"/>
    </row>
    <row r="5" spans="1:11" s="200" customFormat="1" ht="12.75" customHeight="1" thickBot="1">
      <c r="A5" s="210"/>
      <c r="B5" s="210"/>
      <c r="C5" s="211" t="str">
        <f>Historical_data_entry_1!D4</f>
        <v>Additional Description:</v>
      </c>
      <c r="D5" s="1088" t="s">
        <v>447</v>
      </c>
      <c r="E5" s="1089"/>
      <c r="F5" s="1090"/>
      <c r="G5" s="210"/>
      <c r="H5" s="210"/>
      <c r="I5" s="210"/>
      <c r="J5" s="210"/>
      <c r="K5" s="206"/>
    </row>
    <row r="6" spans="1:11" s="200" customFormat="1" ht="10.5" customHeight="1" hidden="1">
      <c r="A6" s="206"/>
      <c r="B6" s="206"/>
      <c r="C6" s="212"/>
      <c r="D6" s="213"/>
      <c r="E6" s="206"/>
      <c r="F6" s="206"/>
      <c r="G6" s="206"/>
      <c r="H6" s="206"/>
      <c r="I6" s="206"/>
      <c r="J6" s="206"/>
      <c r="K6" s="206"/>
    </row>
    <row r="7" spans="1:11" s="200" customFormat="1" ht="10.5" customHeight="1" hidden="1">
      <c r="A7" s="206"/>
      <c r="B7" s="206"/>
      <c r="C7" s="212"/>
      <c r="D7" s="213"/>
      <c r="E7" s="206"/>
      <c r="F7" s="206"/>
      <c r="G7" s="206"/>
      <c r="H7" s="206"/>
      <c r="I7" s="206"/>
      <c r="J7" s="206"/>
      <c r="K7" s="206"/>
    </row>
    <row r="8" spans="1:11" s="200" customFormat="1" ht="10.5" customHeight="1" hidden="1">
      <c r="A8" s="206"/>
      <c r="B8" s="206"/>
      <c r="C8" s="214"/>
      <c r="D8" s="215"/>
      <c r="E8" s="206"/>
      <c r="F8" s="206"/>
      <c r="G8" s="206"/>
      <c r="H8" s="206"/>
      <c r="I8" s="206"/>
      <c r="J8" s="206"/>
      <c r="K8" s="206"/>
    </row>
    <row r="9" spans="1:11" ht="1.5" customHeight="1" thickTop="1">
      <c r="A9" s="203"/>
      <c r="B9" s="203"/>
      <c r="C9" s="216"/>
      <c r="D9" s="217"/>
      <c r="E9" s="203"/>
      <c r="F9" s="203"/>
      <c r="G9" s="203"/>
      <c r="H9" s="203"/>
      <c r="I9" s="203"/>
      <c r="J9" s="203"/>
      <c r="K9" s="203"/>
    </row>
    <row r="10" spans="1:11" ht="13.5" customHeight="1">
      <c r="A10" s="203"/>
      <c r="B10" s="203"/>
      <c r="C10" s="844" t="s">
        <v>156</v>
      </c>
      <c r="D10" s="399" t="s">
        <v>158</v>
      </c>
      <c r="E10" s="203"/>
      <c r="F10" s="203"/>
      <c r="G10" s="203"/>
      <c r="H10" s="203"/>
      <c r="I10" s="203"/>
      <c r="J10" s="203"/>
      <c r="K10" s="203"/>
    </row>
    <row r="11" spans="1:11" ht="15" customHeight="1" thickBot="1">
      <c r="A11" s="203"/>
      <c r="B11" s="843" t="s">
        <v>349</v>
      </c>
      <c r="C11" s="203"/>
      <c r="D11" s="203"/>
      <c r="E11" s="203"/>
      <c r="F11" s="203"/>
      <c r="G11" s="203"/>
      <c r="H11" s="203"/>
      <c r="I11" s="203"/>
      <c r="J11" s="203"/>
      <c r="K11" s="203"/>
    </row>
    <row r="12" spans="1:11" s="201" customFormat="1" ht="12.75" customHeight="1" thickBot="1">
      <c r="A12" s="204"/>
      <c r="B12" s="850"/>
      <c r="C12" s="851"/>
      <c r="D12" s="852"/>
      <c r="E12" s="1127" t="s">
        <v>392</v>
      </c>
      <c r="F12" s="1127"/>
      <c r="G12" s="1127"/>
      <c r="H12" s="1127"/>
      <c r="I12" s="1127"/>
      <c r="J12" s="1128"/>
      <c r="K12" s="204"/>
    </row>
    <row r="13" spans="1:16" ht="7.5" customHeight="1" hidden="1">
      <c r="A13" s="203"/>
      <c r="B13" s="853"/>
      <c r="C13" s="854"/>
      <c r="D13" s="855"/>
      <c r="E13" s="856"/>
      <c r="F13" s="856"/>
      <c r="G13" s="854"/>
      <c r="H13" s="854"/>
      <c r="I13" s="854"/>
      <c r="J13" s="857"/>
      <c r="K13" s="203"/>
      <c r="P13" s="201">
        <f>IF(ISBLANK(D15),#N/A,D15)</f>
        <v>34256</v>
      </c>
    </row>
    <row r="14" spans="1:22" s="394" customFormat="1" ht="15.75" customHeight="1" thickBot="1">
      <c r="A14" s="282"/>
      <c r="B14" s="846" t="s">
        <v>140</v>
      </c>
      <c r="C14" s="848" t="s">
        <v>377</v>
      </c>
      <c r="D14" s="847" t="s">
        <v>325</v>
      </c>
      <c r="E14" s="858" t="s">
        <v>26</v>
      </c>
      <c r="F14" s="859" t="s">
        <v>25</v>
      </c>
      <c r="G14" s="859" t="s">
        <v>27</v>
      </c>
      <c r="H14" s="859"/>
      <c r="I14" s="859" t="s">
        <v>411</v>
      </c>
      <c r="J14" s="860" t="s">
        <v>29</v>
      </c>
      <c r="K14" s="282"/>
      <c r="P14" s="816" t="str">
        <f>IF(ISBLANK(D14),#N/A,D14)</f>
        <v>Date Sampled</v>
      </c>
      <c r="Q14" s="816" t="str">
        <f aca="true" t="shared" si="0" ref="Q14:V14">IF(ISBLANK(E14),"",E14)</f>
        <v>Toluene</v>
      </c>
      <c r="R14" s="816" t="str">
        <f t="shared" si="0"/>
        <v>Benzene</v>
      </c>
      <c r="S14" s="816" t="str">
        <f t="shared" si="0"/>
        <v>Ethylbenzene</v>
      </c>
      <c r="T14" s="816">
        <f t="shared" si="0"/>
      </c>
      <c r="U14" s="816" t="str">
        <f t="shared" si="0"/>
        <v>Naphthalene</v>
      </c>
      <c r="V14" s="816" t="str">
        <f t="shared" si="0"/>
        <v>MTBE</v>
      </c>
    </row>
    <row r="15" spans="1:22" ht="13.5" customHeight="1">
      <c r="A15" s="203"/>
      <c r="B15" s="928" t="str">
        <f>IF(E82+F82&lt;0.5,"1st Yr, 1st Qtr",IF(G82+H82&lt;0.5,"1st Yr, 1st Hlf",1))</f>
        <v>1st Yr, 1st Qtr</v>
      </c>
      <c r="C15" s="618"/>
      <c r="D15" s="619">
        <v>34256</v>
      </c>
      <c r="E15" s="620">
        <v>3.5</v>
      </c>
      <c r="F15" s="621">
        <v>9.7</v>
      </c>
      <c r="G15" s="621">
        <v>16</v>
      </c>
      <c r="H15" s="621"/>
      <c r="I15" s="621">
        <v>1.9</v>
      </c>
      <c r="J15" s="622">
        <v>11</v>
      </c>
      <c r="K15" s="203"/>
      <c r="P15" s="817">
        <f aca="true" t="shared" si="1" ref="P15:P22">IF(ISBLANK(D15),#N/A,D15)</f>
        <v>34256</v>
      </c>
      <c r="Q15" s="816">
        <f aca="true" t="shared" si="2" ref="Q15:Q22">IF(ISBLANK(E15),#N/A,E15)</f>
        <v>3.5</v>
      </c>
      <c r="R15" s="816">
        <f aca="true" t="shared" si="3" ref="R15:R22">IF(ISBLANK(F15),#N/A,F15)</f>
        <v>9.7</v>
      </c>
      <c r="S15" s="816">
        <f aca="true" t="shared" si="4" ref="S15:S22">IF(ISBLANK(G15),#N/A,G15)</f>
        <v>16</v>
      </c>
      <c r="T15" s="816" t="e">
        <f aca="true" t="shared" si="5" ref="T15:T22">IF(ISBLANK(H15),#N/A,H15)</f>
        <v>#N/A</v>
      </c>
      <c r="U15" s="816">
        <f aca="true" t="shared" si="6" ref="U15:U22">IF(ISBLANK(I15),#N/A,I15)</f>
        <v>1.9</v>
      </c>
      <c r="V15" s="816">
        <f aca="true" t="shared" si="7" ref="V15:V22">IF(ISBLANK(J15),#N/A,J15)</f>
        <v>11</v>
      </c>
    </row>
    <row r="16" spans="1:22" ht="13.5" customHeight="1">
      <c r="A16" s="203"/>
      <c r="B16" s="929" t="str">
        <f>IF(E82+F82&lt;0.5,"1st Yr, 2nd Qtr",IF(G82+H82&lt;0.5,"1st Yr, 2nd Hlf",2))</f>
        <v>1st Yr, 2nd Qtr</v>
      </c>
      <c r="C16" s="623">
        <f aca="true" t="shared" si="8" ref="C16:C22">IF(D15=0," - - - ",IF(D16=0," - - - ",D16-D15))</f>
        <v>105</v>
      </c>
      <c r="D16" s="624">
        <v>34361</v>
      </c>
      <c r="E16" s="625">
        <v>2.9</v>
      </c>
      <c r="F16" s="626">
        <v>19</v>
      </c>
      <c r="G16" s="626">
        <v>15</v>
      </c>
      <c r="H16" s="626"/>
      <c r="I16" s="626">
        <v>20</v>
      </c>
      <c r="J16" s="627">
        <v>0</v>
      </c>
      <c r="K16" s="203"/>
      <c r="P16" s="817">
        <f t="shared" si="1"/>
        <v>34361</v>
      </c>
      <c r="Q16" s="816">
        <f t="shared" si="2"/>
        <v>2.9</v>
      </c>
      <c r="R16" s="816">
        <f t="shared" si="3"/>
        <v>19</v>
      </c>
      <c r="S16" s="816">
        <f t="shared" si="4"/>
        <v>15</v>
      </c>
      <c r="T16" s="816" t="e">
        <f t="shared" si="5"/>
        <v>#N/A</v>
      </c>
      <c r="U16" s="816">
        <f t="shared" si="6"/>
        <v>20</v>
      </c>
      <c r="V16" s="816">
        <f t="shared" si="7"/>
        <v>0</v>
      </c>
    </row>
    <row r="17" spans="1:22" ht="13.5" customHeight="1">
      <c r="A17" s="203"/>
      <c r="B17" s="929" t="str">
        <f>IF(E82+F82&lt;0.5,"1st Yr, 3rd Qtr",IF(G82+H82&lt;0.5,"2nd Yr, 1st Hlf",3))</f>
        <v>1st Yr, 3rd Qtr</v>
      </c>
      <c r="C17" s="623">
        <f t="shared" si="8"/>
        <v>118</v>
      </c>
      <c r="D17" s="624">
        <v>34479</v>
      </c>
      <c r="E17" s="625">
        <v>2.6</v>
      </c>
      <c r="F17" s="626">
        <v>13</v>
      </c>
      <c r="G17" s="626">
        <v>5.6</v>
      </c>
      <c r="H17" s="626"/>
      <c r="I17" s="626">
        <v>3.9</v>
      </c>
      <c r="J17" s="627">
        <v>17</v>
      </c>
      <c r="K17" s="203"/>
      <c r="P17" s="817">
        <f t="shared" si="1"/>
        <v>34479</v>
      </c>
      <c r="Q17" s="816">
        <f t="shared" si="2"/>
        <v>2.6</v>
      </c>
      <c r="R17" s="816">
        <f t="shared" si="3"/>
        <v>13</v>
      </c>
      <c r="S17" s="816">
        <f t="shared" si="4"/>
        <v>5.6</v>
      </c>
      <c r="T17" s="816" t="e">
        <f t="shared" si="5"/>
        <v>#N/A</v>
      </c>
      <c r="U17" s="816">
        <f t="shared" si="6"/>
        <v>3.9</v>
      </c>
      <c r="V17" s="816">
        <f t="shared" si="7"/>
        <v>17</v>
      </c>
    </row>
    <row r="18" spans="1:22" ht="13.5" customHeight="1">
      <c r="A18" s="203"/>
      <c r="B18" s="929" t="str">
        <f>IF(E82+F82&lt;0.5,"1st Yr, 4th Qtr",IF(G82+H82&lt;0.5,"2nd Yr, 2nd Hlf",4))</f>
        <v>1st Yr, 4th Qtr</v>
      </c>
      <c r="C18" s="623">
        <f t="shared" si="8"/>
        <v>77</v>
      </c>
      <c r="D18" s="624">
        <v>34556</v>
      </c>
      <c r="E18" s="628">
        <v>2.4</v>
      </c>
      <c r="F18" s="626">
        <v>38</v>
      </c>
      <c r="G18" s="626">
        <v>6</v>
      </c>
      <c r="H18" s="626"/>
      <c r="I18" s="629">
        <v>24.5</v>
      </c>
      <c r="J18" s="627">
        <v>55</v>
      </c>
      <c r="K18" s="203"/>
      <c r="P18" s="817">
        <f t="shared" si="1"/>
        <v>34556</v>
      </c>
      <c r="Q18" s="816">
        <f t="shared" si="2"/>
        <v>2.4</v>
      </c>
      <c r="R18" s="816">
        <f t="shared" si="3"/>
        <v>38</v>
      </c>
      <c r="S18" s="816">
        <f t="shared" si="4"/>
        <v>6</v>
      </c>
      <c r="T18" s="816" t="e">
        <f t="shared" si="5"/>
        <v>#N/A</v>
      </c>
      <c r="U18" s="816">
        <f t="shared" si="6"/>
        <v>24.5</v>
      </c>
      <c r="V18" s="816">
        <f t="shared" si="7"/>
        <v>55</v>
      </c>
    </row>
    <row r="19" spans="1:22" ht="13.5" customHeight="1">
      <c r="A19" s="203"/>
      <c r="B19" s="929" t="str">
        <f>IF(E82+F82&lt;0.5,"2nd Yr, 1st Qtr",IF(G82+H82&lt;0.5,"3rd Yr, 1st Hlf",5))</f>
        <v>2nd Yr, 1st Qtr</v>
      </c>
      <c r="C19" s="623">
        <f t="shared" si="8"/>
        <v>85</v>
      </c>
      <c r="D19" s="630">
        <v>34641</v>
      </c>
      <c r="E19" s="625">
        <v>2.3</v>
      </c>
      <c r="F19" s="626">
        <v>18</v>
      </c>
      <c r="G19" s="626">
        <v>7.6</v>
      </c>
      <c r="H19" s="626"/>
      <c r="I19" s="626">
        <v>65</v>
      </c>
      <c r="J19" s="627">
        <v>0.5</v>
      </c>
      <c r="K19" s="203"/>
      <c r="P19" s="817">
        <f t="shared" si="1"/>
        <v>34641</v>
      </c>
      <c r="Q19" s="816">
        <f t="shared" si="2"/>
        <v>2.3</v>
      </c>
      <c r="R19" s="816">
        <f t="shared" si="3"/>
        <v>18</v>
      </c>
      <c r="S19" s="816">
        <f t="shared" si="4"/>
        <v>7.6</v>
      </c>
      <c r="T19" s="816" t="e">
        <f t="shared" si="5"/>
        <v>#N/A</v>
      </c>
      <c r="U19" s="816">
        <f t="shared" si="6"/>
        <v>65</v>
      </c>
      <c r="V19" s="816">
        <f t="shared" si="7"/>
        <v>0.5</v>
      </c>
    </row>
    <row r="20" spans="1:22" ht="13.5" customHeight="1">
      <c r="A20" s="203"/>
      <c r="B20" s="929" t="str">
        <f>IF(E82+F82&lt;0.5,"2nd Yr, 2nd Qtr",IF(G82+H82&lt;0.5,"3rd Yr, 2nd Hlf",6))</f>
        <v>2nd Yr, 2nd Qtr</v>
      </c>
      <c r="C20" s="623">
        <f t="shared" si="8"/>
        <v>106</v>
      </c>
      <c r="D20" s="630">
        <v>34747</v>
      </c>
      <c r="E20" s="625">
        <v>3</v>
      </c>
      <c r="F20" s="626">
        <v>16</v>
      </c>
      <c r="G20" s="626">
        <v>5.3</v>
      </c>
      <c r="H20" s="626"/>
      <c r="I20" s="626">
        <v>15.7</v>
      </c>
      <c r="J20" s="627">
        <v>0.5</v>
      </c>
      <c r="K20" s="203"/>
      <c r="P20" s="817">
        <f t="shared" si="1"/>
        <v>34747</v>
      </c>
      <c r="Q20" s="816">
        <f t="shared" si="2"/>
        <v>3</v>
      </c>
      <c r="R20" s="816">
        <f t="shared" si="3"/>
        <v>16</v>
      </c>
      <c r="S20" s="816">
        <f t="shared" si="4"/>
        <v>5.3</v>
      </c>
      <c r="T20" s="816" t="e">
        <f t="shared" si="5"/>
        <v>#N/A</v>
      </c>
      <c r="U20" s="816">
        <f t="shared" si="6"/>
        <v>15.7</v>
      </c>
      <c r="V20" s="816">
        <f t="shared" si="7"/>
        <v>0.5</v>
      </c>
    </row>
    <row r="21" spans="1:22" ht="13.5" customHeight="1">
      <c r="A21" s="203"/>
      <c r="B21" s="929" t="str">
        <f>IF(E82+F82&lt;0.5,"2nd Yr, 3rd Qtr",IF(G82+H82&lt;0.5,"4th Yr, 1st Hlf",7))</f>
        <v>2nd Yr, 3rd Qtr</v>
      </c>
      <c r="C21" s="623">
        <f t="shared" si="8"/>
        <v>90</v>
      </c>
      <c r="D21" s="624">
        <v>34837</v>
      </c>
      <c r="E21" s="625">
        <v>1</v>
      </c>
      <c r="F21" s="626">
        <v>33</v>
      </c>
      <c r="G21" s="626">
        <v>4.5</v>
      </c>
      <c r="H21" s="626"/>
      <c r="I21" s="626">
        <v>28.9</v>
      </c>
      <c r="J21" s="627">
        <v>0.5</v>
      </c>
      <c r="K21" s="203"/>
      <c r="P21" s="817">
        <f t="shared" si="1"/>
        <v>34837</v>
      </c>
      <c r="Q21" s="816">
        <f t="shared" si="2"/>
        <v>1</v>
      </c>
      <c r="R21" s="816">
        <f t="shared" si="3"/>
        <v>33</v>
      </c>
      <c r="S21" s="816">
        <f t="shared" si="4"/>
        <v>4.5</v>
      </c>
      <c r="T21" s="816" t="e">
        <f t="shared" si="5"/>
        <v>#N/A</v>
      </c>
      <c r="U21" s="816">
        <f t="shared" si="6"/>
        <v>28.9</v>
      </c>
      <c r="V21" s="816">
        <f t="shared" si="7"/>
        <v>0.5</v>
      </c>
    </row>
    <row r="22" spans="1:22" ht="13.5" customHeight="1" thickBot="1">
      <c r="A22" s="203"/>
      <c r="B22" s="930" t="str">
        <f>IF(E82+F82&lt;0.5,"2nd Yr, 4th Qtr",IF(G82+H82&lt;0.5,"4th Yr, 2nd Hlf",8))</f>
        <v>2nd Yr, 4th Qtr</v>
      </c>
      <c r="C22" s="631">
        <f t="shared" si="8"/>
        <v>71</v>
      </c>
      <c r="D22" s="632">
        <v>34908</v>
      </c>
      <c r="E22" s="633">
        <v>2.2</v>
      </c>
      <c r="F22" s="634">
        <v>28</v>
      </c>
      <c r="G22" s="634">
        <v>4.6</v>
      </c>
      <c r="H22" s="634"/>
      <c r="I22" s="634">
        <v>16.2</v>
      </c>
      <c r="J22" s="635">
        <v>0.5</v>
      </c>
      <c r="K22" s="203"/>
      <c r="P22" s="817">
        <f t="shared" si="1"/>
        <v>34908</v>
      </c>
      <c r="Q22" s="816">
        <f t="shared" si="2"/>
        <v>2.2</v>
      </c>
      <c r="R22" s="816">
        <f t="shared" si="3"/>
        <v>28</v>
      </c>
      <c r="S22" s="816">
        <f t="shared" si="4"/>
        <v>4.6</v>
      </c>
      <c r="T22" s="816" t="e">
        <f t="shared" si="5"/>
        <v>#N/A</v>
      </c>
      <c r="U22" s="816">
        <f t="shared" si="6"/>
        <v>16.2</v>
      </c>
      <c r="V22" s="816">
        <f t="shared" si="7"/>
        <v>0.5</v>
      </c>
    </row>
    <row r="23" spans="1:11" ht="16.5" customHeight="1" thickBot="1">
      <c r="A23" s="203"/>
      <c r="B23" s="843" t="s">
        <v>420</v>
      </c>
      <c r="C23" s="203"/>
      <c r="D23" s="395"/>
      <c r="E23" s="396"/>
      <c r="F23" s="396"/>
      <c r="G23" s="396"/>
      <c r="H23" s="396"/>
      <c r="I23" s="396"/>
      <c r="J23" s="396"/>
      <c r="K23" s="203"/>
    </row>
    <row r="24" spans="1:11" ht="15" customHeight="1">
      <c r="A24" s="203"/>
      <c r="B24" s="688"/>
      <c r="C24" s="689"/>
      <c r="D24" s="690" t="s">
        <v>324</v>
      </c>
      <c r="E24" s="931">
        <f aca="true" t="shared" si="9" ref="E24:J24">IF(E26="DATA ERR","DATA ERR",IF(E26="DATE ERR","DATE ERR",IF(E26="n&lt;8","n&lt;8",+E95)))</f>
        <v>3</v>
      </c>
      <c r="F24" s="932">
        <f t="shared" si="9"/>
        <v>10</v>
      </c>
      <c r="G24" s="932">
        <f t="shared" si="9"/>
        <v>2</v>
      </c>
      <c r="H24" s="932" t="str">
        <f t="shared" si="9"/>
        <v>n&lt;8</v>
      </c>
      <c r="I24" s="932">
        <f t="shared" si="9"/>
        <v>12</v>
      </c>
      <c r="J24" s="933">
        <f t="shared" si="9"/>
        <v>4</v>
      </c>
      <c r="K24" s="203"/>
    </row>
    <row r="25" spans="1:11" ht="13.5" customHeight="1">
      <c r="A25" s="203"/>
      <c r="B25" s="691"/>
      <c r="C25" s="692"/>
      <c r="D25" s="693" t="s">
        <v>328</v>
      </c>
      <c r="E25" s="934" t="str">
        <f aca="true" t="shared" si="10" ref="E25:J25">IF(E26="n&lt;8","n&lt;8",IF($E71="ERROR","DATE ERR",IF($G71="ERROR","DATE ERR",IF(E59="ERROR","DATA ERR",IF(E24&lt;=3,"Shrinking",IF(E24&gt;=13,"Expanding","Undetermined"))))))</f>
        <v>Shrinking</v>
      </c>
      <c r="F25" s="935" t="str">
        <f t="shared" si="10"/>
        <v>Undetermined</v>
      </c>
      <c r="G25" s="935" t="str">
        <f t="shared" si="10"/>
        <v>Shrinking</v>
      </c>
      <c r="H25" s="935" t="str">
        <f t="shared" si="10"/>
        <v>n&lt;8</v>
      </c>
      <c r="I25" s="935" t="str">
        <f t="shared" si="10"/>
        <v>Undetermined</v>
      </c>
      <c r="J25" s="936" t="str">
        <f t="shared" si="10"/>
        <v>Undetermined</v>
      </c>
      <c r="K25" s="203"/>
    </row>
    <row r="26" spans="1:11" ht="13.5" customHeight="1" thickBot="1">
      <c r="A26" s="203"/>
      <c r="B26" s="694"/>
      <c r="C26" s="695"/>
      <c r="D26" s="696" t="s">
        <v>343</v>
      </c>
      <c r="E26" s="937">
        <f aca="true" t="shared" si="11" ref="E26:J26">IF(E59="ERROR","DATA ERR",IF($E71="ERROR","DATE ERR",IF($G71="ERROR","DATE ERR",IF(COUNTA($D15:$D22)&lt;8,"n&lt;8",IF(COUNTA(E15:E22)&lt;8,"n&lt;8","")))))</f>
      </c>
      <c r="F26" s="938">
        <f t="shared" si="11"/>
      </c>
      <c r="G26" s="938">
        <f t="shared" si="11"/>
      </c>
      <c r="H26" s="938" t="str">
        <f t="shared" si="11"/>
        <v>n&lt;8</v>
      </c>
      <c r="I26" s="938">
        <f t="shared" si="11"/>
      </c>
      <c r="J26" s="939">
        <f t="shared" si="11"/>
      </c>
      <c r="K26" s="203"/>
    </row>
    <row r="27" spans="1:11" ht="13.5" customHeight="1" thickBot="1">
      <c r="A27" s="203"/>
      <c r="B27" s="697" t="str">
        <f>IF(E71="ERROR","",IF(G71="ERROR","",IF(E82+F82&lt;0.5,"DATA FROM QUARTERLY SAMPLING",IF(G82+H82&lt;0.5,"DATA FROM SEMI-ANNUAL SAMPLING",""))))</f>
        <v>DATA FROM QUARTERLY SAMPLING</v>
      </c>
      <c r="C27" s="698"/>
      <c r="D27" s="699"/>
      <c r="E27" s="940"/>
      <c r="F27" s="941" t="str">
        <f>IF(E71="ERROR","TEXT ENTERED FOR DATE",IF(G71="ERROR","DATES ARE NOT CONSECUTIVE",IF(F71="ERROR","Less Than Eight Dates Entered",IF(E82+F82&lt;0.5,"  ",IF(G82+H82&lt;0.5,"  ","DATA IS NEITHER QUARTERLY OR SEMI-ANNUAL")))))</f>
        <v>  </v>
      </c>
      <c r="G27" s="942"/>
      <c r="H27" s="942"/>
      <c r="I27" s="942"/>
      <c r="J27" s="943"/>
      <c r="K27" s="203"/>
    </row>
    <row r="28" spans="1:11" ht="3" customHeight="1">
      <c r="A28" s="203"/>
      <c r="B28" s="203"/>
      <c r="C28" s="203"/>
      <c r="D28" s="203"/>
      <c r="E28" s="203"/>
      <c r="F28" s="203"/>
      <c r="G28" s="203"/>
      <c r="H28" s="203"/>
      <c r="I28" s="203"/>
      <c r="J28" s="203"/>
      <c r="K28" s="203"/>
    </row>
    <row r="29" spans="1:11" ht="13.5" customHeight="1">
      <c r="A29" s="203"/>
      <c r="B29" s="845" t="s">
        <v>341</v>
      </c>
      <c r="C29" s="226"/>
      <c r="D29" s="226"/>
      <c r="E29" s="226"/>
      <c r="F29" s="226"/>
      <c r="G29" s="226"/>
      <c r="H29" s="226"/>
      <c r="I29" s="226"/>
      <c r="J29" s="226"/>
      <c r="K29" s="223"/>
    </row>
    <row r="30" spans="1:11" ht="13.5" customHeight="1">
      <c r="A30" s="203"/>
      <c r="B30" s="397"/>
      <c r="C30" s="840" t="str">
        <f>Mann_Kendall!C46</f>
        <v>Hazardous substance?</v>
      </c>
      <c r="D30" s="826" t="s">
        <v>26</v>
      </c>
      <c r="E30" s="226"/>
      <c r="F30" s="226"/>
      <c r="G30" s="226"/>
      <c r="H30" s="226"/>
      <c r="I30" s="226"/>
      <c r="J30" s="226"/>
      <c r="K30" s="223"/>
    </row>
    <row r="31" spans="1:11" ht="13.5" customHeight="1">
      <c r="A31" s="203"/>
      <c r="B31" s="397"/>
      <c r="C31" s="840" t="str">
        <f>Mann_Kendall!C47</f>
        <v>Plume Stability?</v>
      </c>
      <c r="D31" s="827" t="str">
        <f>D41</f>
        <v>Shrinking</v>
      </c>
      <c r="E31" s="226"/>
      <c r="F31" s="226"/>
      <c r="G31" s="226"/>
      <c r="H31" s="226"/>
      <c r="I31" s="226"/>
      <c r="J31" s="226"/>
      <c r="K31" s="223"/>
    </row>
    <row r="32" spans="1:11" ht="13.5" customHeight="1">
      <c r="A32" s="203"/>
      <c r="B32" s="397"/>
      <c r="C32" s="226" t="s">
        <v>15</v>
      </c>
      <c r="D32" s="226" t="str">
        <f>D30</f>
        <v>Toluene</v>
      </c>
      <c r="E32" s="226"/>
      <c r="F32" s="226"/>
      <c r="G32" s="226"/>
      <c r="H32" s="226"/>
      <c r="I32" s="226"/>
      <c r="J32" s="226"/>
      <c r="K32" s="223"/>
    </row>
    <row r="33" spans="1:11" ht="13.5" customHeight="1">
      <c r="A33" s="203"/>
      <c r="B33" s="397"/>
      <c r="C33" s="764">
        <f>IF(ISBLANK(D15),#N/A,D15)</f>
        <v>34256</v>
      </c>
      <c r="D33" s="226">
        <f>IF(ISBLANK(HLOOKUP($D$32,whitney_data,2,FALSE)),#N/A,HLOOKUP($D$32,whitney_data,2,FALSE))</f>
        <v>3.5</v>
      </c>
      <c r="E33" s="226"/>
      <c r="F33" s="226"/>
      <c r="G33" s="226"/>
      <c r="H33" s="226"/>
      <c r="I33" s="226"/>
      <c r="J33" s="226"/>
      <c r="K33" s="223"/>
    </row>
    <row r="34" spans="1:11" ht="13.5" customHeight="1">
      <c r="A34" s="203"/>
      <c r="B34" s="397"/>
      <c r="C34" s="764">
        <f aca="true" t="shared" si="12" ref="C34:C40">IF(ISBLANK(D16),#N/A,D16)</f>
        <v>34361</v>
      </c>
      <c r="D34" s="226">
        <f>IF(ISBLANK(HLOOKUP($D$32,whitney_data,3,FALSE)),#N/A,HLOOKUP($D$32,whitney_data,3,FALSE))</f>
        <v>2.9</v>
      </c>
      <c r="E34" s="226"/>
      <c r="F34" s="226"/>
      <c r="G34" s="226"/>
      <c r="H34" s="226"/>
      <c r="I34" s="226"/>
      <c r="J34" s="226"/>
      <c r="K34" s="223"/>
    </row>
    <row r="35" spans="1:11" ht="13.5" customHeight="1">
      <c r="A35" s="203"/>
      <c r="B35" s="397"/>
      <c r="C35" s="764">
        <f t="shared" si="12"/>
        <v>34479</v>
      </c>
      <c r="D35" s="226">
        <f>IF(ISBLANK(HLOOKUP($D$32,whitney_data,4,FALSE)),#N/A,HLOOKUP($D$32,whitney_data,4,FALSE))</f>
        <v>2.6</v>
      </c>
      <c r="E35" s="226"/>
      <c r="F35" s="226"/>
      <c r="G35" s="226"/>
      <c r="H35" s="226"/>
      <c r="I35" s="226"/>
      <c r="J35" s="226"/>
      <c r="K35" s="223"/>
    </row>
    <row r="36" spans="1:11" ht="13.5" customHeight="1">
      <c r="A36" s="203"/>
      <c r="B36" s="397"/>
      <c r="C36" s="764">
        <f t="shared" si="12"/>
        <v>34556</v>
      </c>
      <c r="D36" s="226">
        <f>IF(ISBLANK(HLOOKUP($D$32,whitney_data,5,FALSE)),#N/A,HLOOKUP($D$32,whitney_data,5,FALSE))</f>
        <v>2.4</v>
      </c>
      <c r="E36" s="226"/>
      <c r="F36" s="226"/>
      <c r="G36" s="226"/>
      <c r="H36" s="226"/>
      <c r="I36" s="226"/>
      <c r="J36" s="226"/>
      <c r="K36" s="223"/>
    </row>
    <row r="37" spans="1:11" ht="13.5" customHeight="1">
      <c r="A37" s="203"/>
      <c r="B37" s="397"/>
      <c r="C37" s="764">
        <f t="shared" si="12"/>
        <v>34641</v>
      </c>
      <c r="D37" s="226">
        <f>IF(ISBLANK(HLOOKUP($D$32,whitney_data,6,FALSE)),#N/A,HLOOKUP($D$32,whitney_data,6,FALSE))</f>
        <v>2.3</v>
      </c>
      <c r="E37" s="226"/>
      <c r="F37" s="226"/>
      <c r="G37" s="226"/>
      <c r="H37" s="226"/>
      <c r="I37" s="226"/>
      <c r="J37" s="226"/>
      <c r="K37" s="223"/>
    </row>
    <row r="38" spans="1:11" ht="13.5" customHeight="1">
      <c r="A38" s="203"/>
      <c r="B38" s="397"/>
      <c r="C38" s="764">
        <f t="shared" si="12"/>
        <v>34747</v>
      </c>
      <c r="D38" s="226">
        <f>IF(ISBLANK(HLOOKUP($D$32,whitney_data,7,FALSE)),#N/A,HLOOKUP($D$32,whitney_data,7,FALSE))</f>
        <v>3</v>
      </c>
      <c r="E38" s="226"/>
      <c r="F38" s="226"/>
      <c r="G38" s="226"/>
      <c r="H38" s="226"/>
      <c r="I38" s="226"/>
      <c r="J38" s="226"/>
      <c r="K38" s="223"/>
    </row>
    <row r="39" spans="1:11" ht="13.5" customHeight="1">
      <c r="A39" s="203"/>
      <c r="B39" s="397"/>
      <c r="C39" s="764">
        <f t="shared" si="12"/>
        <v>34837</v>
      </c>
      <c r="D39" s="226">
        <f>IF(ISBLANK(HLOOKUP($D$32,whitney_data,8,FALSE)),#N/A,HLOOKUP($D$32,whitney_data,8,FALSE))</f>
        <v>1</v>
      </c>
      <c r="E39" s="226"/>
      <c r="F39" s="226"/>
      <c r="G39" s="226"/>
      <c r="H39" s="226"/>
      <c r="I39" s="226"/>
      <c r="J39" s="226"/>
      <c r="K39" s="223"/>
    </row>
    <row r="40" spans="1:11" ht="13.5" customHeight="1">
      <c r="A40" s="203"/>
      <c r="B40" s="397"/>
      <c r="C40" s="764">
        <f t="shared" si="12"/>
        <v>34908</v>
      </c>
      <c r="D40" s="226">
        <f>IF(ISBLANK(HLOOKUP($D$32,whitney_data,9,FALSE)),#N/A,HLOOKUP($D$32,whitney_data,9,FALSE))</f>
        <v>2.2</v>
      </c>
      <c r="E40" s="226"/>
      <c r="F40" s="226"/>
      <c r="G40" s="226"/>
      <c r="H40" s="226"/>
      <c r="I40" s="226"/>
      <c r="J40" s="226"/>
      <c r="K40" s="223"/>
    </row>
    <row r="41" spans="1:11" ht="13.5" customHeight="1">
      <c r="A41" s="203"/>
      <c r="B41" s="397"/>
      <c r="C41" s="764" t="s">
        <v>366</v>
      </c>
      <c r="D41" s="226" t="str">
        <f>IF(ISBLANK(HLOOKUP($D$32,whitney_data,12,FALSE)),#N/A,HLOOKUP($D$32,whitney_data,12,FALSE))</f>
        <v>Shrinking</v>
      </c>
      <c r="E41" s="226"/>
      <c r="F41" s="226"/>
      <c r="G41" s="226"/>
      <c r="H41" s="226"/>
      <c r="I41" s="226"/>
      <c r="J41" s="226"/>
      <c r="K41" s="223"/>
    </row>
    <row r="42" spans="1:11" ht="13.5" customHeight="1">
      <c r="A42" s="203"/>
      <c r="B42" s="397"/>
      <c r="C42" s="226"/>
      <c r="D42" s="226"/>
      <c r="E42" s="226"/>
      <c r="F42" s="226"/>
      <c r="G42" s="226"/>
      <c r="H42" s="226"/>
      <c r="I42" s="226"/>
      <c r="J42" s="226"/>
      <c r="K42" s="223"/>
    </row>
    <row r="43" spans="1:11" ht="13.5" customHeight="1" hidden="1">
      <c r="A43" s="203"/>
      <c r="B43" s="397"/>
      <c r="C43" s="226"/>
      <c r="D43" s="226"/>
      <c r="E43" s="226"/>
      <c r="F43" s="226"/>
      <c r="G43" s="226"/>
      <c r="H43" s="226"/>
      <c r="I43" s="226"/>
      <c r="J43" s="226"/>
      <c r="K43" s="223"/>
    </row>
    <row r="44" spans="1:11" ht="13.5" customHeight="1" hidden="1">
      <c r="A44" s="203"/>
      <c r="B44" s="397"/>
      <c r="C44" s="226"/>
      <c r="D44" s="226"/>
      <c r="E44" s="226"/>
      <c r="F44" s="226"/>
      <c r="G44" s="226"/>
      <c r="H44" s="226"/>
      <c r="I44" s="226"/>
      <c r="J44" s="226"/>
      <c r="K44" s="223"/>
    </row>
    <row r="45" spans="1:11" ht="13.5" customHeight="1" hidden="1">
      <c r="A45" s="203"/>
      <c r="B45" s="397"/>
      <c r="C45" s="226"/>
      <c r="D45" s="226"/>
      <c r="E45" s="226"/>
      <c r="F45" s="226"/>
      <c r="G45" s="226"/>
      <c r="H45" s="226"/>
      <c r="I45" s="226"/>
      <c r="J45" s="226"/>
      <c r="K45" s="223"/>
    </row>
    <row r="46" spans="1:11" ht="13.5" customHeight="1" hidden="1">
      <c r="A46" s="203"/>
      <c r="B46" s="226"/>
      <c r="C46" s="226"/>
      <c r="D46" s="226"/>
      <c r="E46" s="226"/>
      <c r="F46" s="226"/>
      <c r="G46" s="226"/>
      <c r="H46" s="226"/>
      <c r="I46" s="226"/>
      <c r="J46" s="226"/>
      <c r="K46" s="223"/>
    </row>
    <row r="47" spans="1:11" s="202" customFormat="1" ht="9.75" customHeight="1" hidden="1">
      <c r="A47" s="203"/>
      <c r="B47" s="203"/>
      <c r="C47" s="203"/>
      <c r="D47" s="203"/>
      <c r="E47" s="282"/>
      <c r="F47" s="282"/>
      <c r="G47" s="282"/>
      <c r="H47" s="282"/>
      <c r="I47" s="282"/>
      <c r="J47" s="282"/>
      <c r="K47" s="223"/>
    </row>
    <row r="48" spans="1:11" s="202" customFormat="1" ht="12.75" hidden="1">
      <c r="A48" s="203"/>
      <c r="B48" s="203"/>
      <c r="C48" s="203"/>
      <c r="D48" s="203"/>
      <c r="E48" s="282"/>
      <c r="F48" s="282"/>
      <c r="G48" s="282"/>
      <c r="H48" s="282"/>
      <c r="I48" s="282"/>
      <c r="J48" s="282"/>
      <c r="K48" s="223"/>
    </row>
    <row r="49" spans="1:11" ht="12.75" hidden="1">
      <c r="A49" s="225"/>
      <c r="B49" s="227" t="s">
        <v>70</v>
      </c>
      <c r="C49" s="228"/>
      <c r="D49" s="228"/>
      <c r="E49" s="229"/>
      <c r="F49" s="229"/>
      <c r="G49" s="229"/>
      <c r="H49" s="229"/>
      <c r="I49" s="229"/>
      <c r="J49" s="230"/>
      <c r="K49" s="231"/>
    </row>
    <row r="50" spans="1:11" ht="12.75" hidden="1">
      <c r="A50" s="225"/>
      <c r="B50" s="232" t="s">
        <v>71</v>
      </c>
      <c r="C50" s="221"/>
      <c r="D50" s="233" t="s">
        <v>60</v>
      </c>
      <c r="E50" s="234" t="str">
        <f aca="true" t="shared" si="13" ref="E50:J50">+E14</f>
        <v>Toluene</v>
      </c>
      <c r="F50" s="234" t="str">
        <f t="shared" si="13"/>
        <v>Benzene</v>
      </c>
      <c r="G50" s="234" t="str">
        <f t="shared" si="13"/>
        <v>Ethylbenzene</v>
      </c>
      <c r="H50" s="234">
        <f t="shared" si="13"/>
        <v>0</v>
      </c>
      <c r="I50" s="234" t="str">
        <f t="shared" si="13"/>
        <v>Naphthalene</v>
      </c>
      <c r="J50" s="234" t="str">
        <f t="shared" si="13"/>
        <v>MTBE</v>
      </c>
      <c r="K50" s="231"/>
    </row>
    <row r="51" spans="1:11" ht="12.75" hidden="1">
      <c r="A51" s="225"/>
      <c r="B51" s="235" t="s">
        <v>72</v>
      </c>
      <c r="C51" s="203"/>
      <c r="D51" s="236">
        <f aca="true" t="shared" si="14" ref="D51:D58">+D63</f>
        <v>34256</v>
      </c>
      <c r="E51" s="237">
        <f aca="true" t="shared" si="15" ref="E51:J58">IF(ISTEXT(E15),"TEXT",IF(E15&lt;0,"NEGATIVE",-1))</f>
        <v>-1</v>
      </c>
      <c r="F51" s="237">
        <f t="shared" si="15"/>
        <v>-1</v>
      </c>
      <c r="G51" s="237">
        <f t="shared" si="15"/>
        <v>-1</v>
      </c>
      <c r="H51" s="237">
        <f t="shared" si="15"/>
        <v>-1</v>
      </c>
      <c r="I51" s="237">
        <f t="shared" si="15"/>
        <v>-1</v>
      </c>
      <c r="J51" s="237">
        <f t="shared" si="15"/>
        <v>-1</v>
      </c>
      <c r="K51" s="231"/>
    </row>
    <row r="52" spans="1:11" ht="12.75" hidden="1">
      <c r="A52" s="225"/>
      <c r="B52" s="235" t="s">
        <v>73</v>
      </c>
      <c r="C52" s="203"/>
      <c r="D52" s="238">
        <f t="shared" si="14"/>
        <v>34361</v>
      </c>
      <c r="E52" s="237">
        <f t="shared" si="15"/>
        <v>-1</v>
      </c>
      <c r="F52" s="237">
        <f t="shared" si="15"/>
        <v>-1</v>
      </c>
      <c r="G52" s="237">
        <f t="shared" si="15"/>
        <v>-1</v>
      </c>
      <c r="H52" s="237">
        <f t="shared" si="15"/>
        <v>-1</v>
      </c>
      <c r="I52" s="237">
        <f t="shared" si="15"/>
        <v>-1</v>
      </c>
      <c r="J52" s="237">
        <f t="shared" si="15"/>
        <v>-1</v>
      </c>
      <c r="K52" s="231"/>
    </row>
    <row r="53" spans="1:11" ht="12.75" hidden="1">
      <c r="A53" s="225"/>
      <c r="B53" s="235" t="s">
        <v>74</v>
      </c>
      <c r="C53" s="203"/>
      <c r="D53" s="239">
        <f t="shared" si="14"/>
        <v>34479</v>
      </c>
      <c r="E53" s="237">
        <f t="shared" si="15"/>
        <v>-1</v>
      </c>
      <c r="F53" s="237">
        <f t="shared" si="15"/>
        <v>-1</v>
      </c>
      <c r="G53" s="237">
        <f t="shared" si="15"/>
        <v>-1</v>
      </c>
      <c r="H53" s="237">
        <f t="shared" si="15"/>
        <v>-1</v>
      </c>
      <c r="I53" s="237">
        <f t="shared" si="15"/>
        <v>-1</v>
      </c>
      <c r="J53" s="237">
        <f t="shared" si="15"/>
        <v>-1</v>
      </c>
      <c r="K53" s="231"/>
    </row>
    <row r="54" spans="1:11" ht="13.5" hidden="1" thickBot="1">
      <c r="A54" s="225"/>
      <c r="B54" s="235"/>
      <c r="C54" s="203"/>
      <c r="D54" s="240">
        <f t="shared" si="14"/>
        <v>34556</v>
      </c>
      <c r="E54" s="241">
        <f t="shared" si="15"/>
        <v>-1</v>
      </c>
      <c r="F54" s="241">
        <f t="shared" si="15"/>
        <v>-1</v>
      </c>
      <c r="G54" s="241">
        <f t="shared" si="15"/>
        <v>-1</v>
      </c>
      <c r="H54" s="241">
        <f t="shared" si="15"/>
        <v>-1</v>
      </c>
      <c r="I54" s="241">
        <f t="shared" si="15"/>
        <v>-1</v>
      </c>
      <c r="J54" s="241">
        <f t="shared" si="15"/>
        <v>-1</v>
      </c>
      <c r="K54" s="231"/>
    </row>
    <row r="55" spans="1:11" ht="13.5" hidden="1" thickTop="1">
      <c r="A55" s="225"/>
      <c r="B55" s="235" t="s">
        <v>75</v>
      </c>
      <c r="C55" s="203"/>
      <c r="D55" s="239">
        <f t="shared" si="14"/>
        <v>34641</v>
      </c>
      <c r="E55" s="242">
        <f t="shared" si="15"/>
        <v>-1</v>
      </c>
      <c r="F55" s="242">
        <f t="shared" si="15"/>
        <v>-1</v>
      </c>
      <c r="G55" s="242">
        <f t="shared" si="15"/>
        <v>-1</v>
      </c>
      <c r="H55" s="242">
        <f t="shared" si="15"/>
        <v>-1</v>
      </c>
      <c r="I55" s="242">
        <f t="shared" si="15"/>
        <v>-1</v>
      </c>
      <c r="J55" s="242">
        <f t="shared" si="15"/>
        <v>-1</v>
      </c>
      <c r="K55" s="231"/>
    </row>
    <row r="56" spans="1:11" ht="12.75" hidden="1">
      <c r="A56" s="225"/>
      <c r="B56" s="235" t="s">
        <v>76</v>
      </c>
      <c r="C56" s="203"/>
      <c r="D56" s="238">
        <f t="shared" si="14"/>
        <v>34747</v>
      </c>
      <c r="E56" s="237">
        <f t="shared" si="15"/>
        <v>-1</v>
      </c>
      <c r="F56" s="237">
        <f t="shared" si="15"/>
        <v>-1</v>
      </c>
      <c r="G56" s="237">
        <f t="shared" si="15"/>
        <v>-1</v>
      </c>
      <c r="H56" s="237">
        <f t="shared" si="15"/>
        <v>-1</v>
      </c>
      <c r="I56" s="237">
        <f t="shared" si="15"/>
        <v>-1</v>
      </c>
      <c r="J56" s="237">
        <f t="shared" si="15"/>
        <v>-1</v>
      </c>
      <c r="K56" s="231"/>
    </row>
    <row r="57" spans="1:11" ht="12.75" hidden="1">
      <c r="A57" s="225"/>
      <c r="B57" s="235" t="s">
        <v>77</v>
      </c>
      <c r="C57" s="203"/>
      <c r="D57" s="239">
        <f t="shared" si="14"/>
        <v>34837</v>
      </c>
      <c r="E57" s="237">
        <f t="shared" si="15"/>
        <v>-1</v>
      </c>
      <c r="F57" s="237">
        <f t="shared" si="15"/>
        <v>-1</v>
      </c>
      <c r="G57" s="237">
        <f t="shared" si="15"/>
        <v>-1</v>
      </c>
      <c r="H57" s="237">
        <f t="shared" si="15"/>
        <v>-1</v>
      </c>
      <c r="I57" s="237">
        <f t="shared" si="15"/>
        <v>-1</v>
      </c>
      <c r="J57" s="237">
        <f t="shared" si="15"/>
        <v>-1</v>
      </c>
      <c r="K57" s="231"/>
    </row>
    <row r="58" spans="1:11" ht="12.75" hidden="1">
      <c r="A58" s="225"/>
      <c r="B58" s="235" t="s">
        <v>78</v>
      </c>
      <c r="C58" s="203"/>
      <c r="D58" s="238">
        <f t="shared" si="14"/>
        <v>34908</v>
      </c>
      <c r="E58" s="237">
        <f t="shared" si="15"/>
        <v>-1</v>
      </c>
      <c r="F58" s="237">
        <f t="shared" si="15"/>
        <v>-1</v>
      </c>
      <c r="G58" s="237">
        <f t="shared" si="15"/>
        <v>-1</v>
      </c>
      <c r="H58" s="237">
        <f t="shared" si="15"/>
        <v>-1</v>
      </c>
      <c r="I58" s="237">
        <f t="shared" si="15"/>
        <v>-1</v>
      </c>
      <c r="J58" s="237">
        <f t="shared" si="15"/>
        <v>-1</v>
      </c>
      <c r="K58" s="223"/>
    </row>
    <row r="59" spans="1:11" ht="12.75" hidden="1">
      <c r="A59" s="225"/>
      <c r="B59" s="243"/>
      <c r="C59" s="224"/>
      <c r="D59" s="222" t="s">
        <v>79</v>
      </c>
      <c r="E59" s="244" t="str">
        <f aca="true" t="shared" si="16" ref="E59:J59">IF(SUM(E51:E58)=-8,"no err","ERROR")</f>
        <v>no err</v>
      </c>
      <c r="F59" s="244" t="str">
        <f t="shared" si="16"/>
        <v>no err</v>
      </c>
      <c r="G59" s="244" t="str">
        <f t="shared" si="16"/>
        <v>no err</v>
      </c>
      <c r="H59" s="244" t="str">
        <f t="shared" si="16"/>
        <v>no err</v>
      </c>
      <c r="I59" s="244" t="str">
        <f t="shared" si="16"/>
        <v>no err</v>
      </c>
      <c r="J59" s="244" t="str">
        <f t="shared" si="16"/>
        <v>no err</v>
      </c>
      <c r="K59" s="223"/>
    </row>
    <row r="60" spans="1:11" ht="12.75" hidden="1">
      <c r="A60" s="225"/>
      <c r="B60" s="203"/>
      <c r="C60" s="203"/>
      <c r="D60" s="218"/>
      <c r="E60" s="245"/>
      <c r="F60" s="245"/>
      <c r="G60" s="245"/>
      <c r="H60" s="245"/>
      <c r="I60" s="225"/>
      <c r="J60" s="225"/>
      <c r="K60" s="231"/>
    </row>
    <row r="61" spans="1:11" ht="12.75" hidden="1">
      <c r="A61" s="225"/>
      <c r="B61" s="227" t="s">
        <v>80</v>
      </c>
      <c r="C61" s="222"/>
      <c r="D61" s="222"/>
      <c r="E61" s="222"/>
      <c r="F61" s="222"/>
      <c r="G61" s="220"/>
      <c r="H61" s="225"/>
      <c r="I61" s="225"/>
      <c r="J61" s="225"/>
      <c r="K61" s="231"/>
    </row>
    <row r="62" spans="1:11" ht="12.75" hidden="1">
      <c r="A62" s="225"/>
      <c r="B62" s="232" t="s">
        <v>81</v>
      </c>
      <c r="C62" s="246"/>
      <c r="D62" s="247" t="s">
        <v>60</v>
      </c>
      <c r="E62" s="247" t="s">
        <v>82</v>
      </c>
      <c r="F62" s="247" t="s">
        <v>83</v>
      </c>
      <c r="G62" s="248" t="s">
        <v>84</v>
      </c>
      <c r="H62" s="225"/>
      <c r="I62" s="225"/>
      <c r="J62" s="225"/>
      <c r="K62" s="231"/>
    </row>
    <row r="63" spans="1:11" ht="12.75" hidden="1">
      <c r="A63" s="225"/>
      <c r="B63" s="235" t="s">
        <v>85</v>
      </c>
      <c r="C63" s="249"/>
      <c r="D63" s="250">
        <f aca="true" t="shared" si="17" ref="D63:D70">+D15</f>
        <v>34256</v>
      </c>
      <c r="E63" s="237">
        <f aca="true" t="shared" si="18" ref="E63:E70">IF(ISTEXT(D15),"TEXT",-1)</f>
        <v>-1</v>
      </c>
      <c r="F63" s="237">
        <f aca="true" t="shared" si="19" ref="F63:F70">IF(ISBLANK(D15),"BLANK",-1)</f>
        <v>-1</v>
      </c>
      <c r="G63" s="251" t="s">
        <v>86</v>
      </c>
      <c r="H63" s="225"/>
      <c r="I63" s="225"/>
      <c r="J63" s="225"/>
      <c r="K63" s="231"/>
    </row>
    <row r="64" spans="1:11" ht="12.75" hidden="1">
      <c r="A64" s="225"/>
      <c r="B64" s="235"/>
      <c r="C64" s="249"/>
      <c r="D64" s="250">
        <f t="shared" si="17"/>
        <v>34361</v>
      </c>
      <c r="E64" s="237">
        <f t="shared" si="18"/>
        <v>-1</v>
      </c>
      <c r="F64" s="237">
        <f t="shared" si="19"/>
        <v>-1</v>
      </c>
      <c r="G64" s="237">
        <f aca="true" t="shared" si="20" ref="G64:G70">IF(E64=-1,IF(F64=-1,IF(D64&gt;D63,-1,"NOT CONS"),-1),-1)</f>
        <v>-1</v>
      </c>
      <c r="H64" s="225"/>
      <c r="I64" s="225"/>
      <c r="J64" s="225"/>
      <c r="K64" s="231"/>
    </row>
    <row r="65" spans="1:11" ht="12.75" hidden="1">
      <c r="A65" s="225"/>
      <c r="B65" s="235" t="s">
        <v>75</v>
      </c>
      <c r="C65" s="249"/>
      <c r="D65" s="250">
        <f t="shared" si="17"/>
        <v>34479</v>
      </c>
      <c r="E65" s="237">
        <f t="shared" si="18"/>
        <v>-1</v>
      </c>
      <c r="F65" s="237">
        <f t="shared" si="19"/>
        <v>-1</v>
      </c>
      <c r="G65" s="237">
        <f t="shared" si="20"/>
        <v>-1</v>
      </c>
      <c r="H65" s="225"/>
      <c r="I65" s="225"/>
      <c r="J65" s="225"/>
      <c r="K65" s="231"/>
    </row>
    <row r="66" spans="1:11" ht="13.5" hidden="1" thickBot="1">
      <c r="A66" s="225"/>
      <c r="B66" s="235" t="s">
        <v>87</v>
      </c>
      <c r="C66" s="249"/>
      <c r="D66" s="252">
        <f t="shared" si="17"/>
        <v>34556</v>
      </c>
      <c r="E66" s="241">
        <f t="shared" si="18"/>
        <v>-1</v>
      </c>
      <c r="F66" s="241">
        <f t="shared" si="19"/>
        <v>-1</v>
      </c>
      <c r="G66" s="241">
        <f t="shared" si="20"/>
        <v>-1</v>
      </c>
      <c r="H66" s="225"/>
      <c r="I66" s="225"/>
      <c r="J66" s="225"/>
      <c r="K66" s="231"/>
    </row>
    <row r="67" spans="1:11" ht="13.5" hidden="1" thickTop="1">
      <c r="A67" s="225"/>
      <c r="B67" s="235"/>
      <c r="C67" s="249"/>
      <c r="D67" s="253">
        <f t="shared" si="17"/>
        <v>34641</v>
      </c>
      <c r="E67" s="242">
        <f t="shared" si="18"/>
        <v>-1</v>
      </c>
      <c r="F67" s="242">
        <f t="shared" si="19"/>
        <v>-1</v>
      </c>
      <c r="G67" s="242">
        <f t="shared" si="20"/>
        <v>-1</v>
      </c>
      <c r="H67" s="225"/>
      <c r="I67" s="225"/>
      <c r="J67" s="225"/>
      <c r="K67" s="231"/>
    </row>
    <row r="68" spans="1:11" ht="12.75" hidden="1">
      <c r="A68" s="225"/>
      <c r="B68" s="235"/>
      <c r="C68" s="249"/>
      <c r="D68" s="250">
        <f t="shared" si="17"/>
        <v>34747</v>
      </c>
      <c r="E68" s="237">
        <f t="shared" si="18"/>
        <v>-1</v>
      </c>
      <c r="F68" s="237">
        <f t="shared" si="19"/>
        <v>-1</v>
      </c>
      <c r="G68" s="237">
        <f t="shared" si="20"/>
        <v>-1</v>
      </c>
      <c r="H68" s="225"/>
      <c r="I68" s="225"/>
      <c r="J68" s="225"/>
      <c r="K68" s="231"/>
    </row>
    <row r="69" spans="1:11" ht="12.75" hidden="1">
      <c r="A69" s="225"/>
      <c r="B69" s="235"/>
      <c r="C69" s="249"/>
      <c r="D69" s="250">
        <f t="shared" si="17"/>
        <v>34837</v>
      </c>
      <c r="E69" s="237">
        <f t="shared" si="18"/>
        <v>-1</v>
      </c>
      <c r="F69" s="237">
        <f t="shared" si="19"/>
        <v>-1</v>
      </c>
      <c r="G69" s="237">
        <f t="shared" si="20"/>
        <v>-1</v>
      </c>
      <c r="H69" s="225"/>
      <c r="I69" s="225"/>
      <c r="J69" s="225"/>
      <c r="K69" s="231"/>
    </row>
    <row r="70" spans="1:11" ht="12.75" hidden="1">
      <c r="A70" s="225"/>
      <c r="B70" s="235"/>
      <c r="C70" s="249"/>
      <c r="D70" s="254">
        <f t="shared" si="17"/>
        <v>34908</v>
      </c>
      <c r="E70" s="237">
        <f t="shared" si="18"/>
        <v>-1</v>
      </c>
      <c r="F70" s="237">
        <f t="shared" si="19"/>
        <v>-1</v>
      </c>
      <c r="G70" s="237">
        <f t="shared" si="20"/>
        <v>-1</v>
      </c>
      <c r="H70" s="225"/>
      <c r="I70" s="225"/>
      <c r="J70" s="225"/>
      <c r="K70" s="231"/>
    </row>
    <row r="71" spans="1:11" ht="12.75" hidden="1">
      <c r="A71" s="225"/>
      <c r="B71" s="243"/>
      <c r="C71" s="219"/>
      <c r="D71" s="247" t="s">
        <v>79</v>
      </c>
      <c r="E71" s="255" t="str">
        <f>IF(SUM(E63:E70)=-8,"no err","ERROR")</f>
        <v>no err</v>
      </c>
      <c r="F71" s="255" t="str">
        <f>IF(SUM(F63:F70)=-8,"no err","ERROR")</f>
        <v>no err</v>
      </c>
      <c r="G71" s="255" t="str">
        <f>IF(SUM(G63:G70)=-7,"no err","ERROR")</f>
        <v>no err</v>
      </c>
      <c r="H71" s="225"/>
      <c r="I71" s="225"/>
      <c r="J71" s="225"/>
      <c r="K71" s="231"/>
    </row>
    <row r="72" spans="1:11" ht="12.75" hidden="1">
      <c r="A72" s="225"/>
      <c r="B72" s="203"/>
      <c r="C72" s="203"/>
      <c r="D72" s="203"/>
      <c r="E72" s="203"/>
      <c r="F72" s="203"/>
      <c r="G72" s="203"/>
      <c r="H72" s="203"/>
      <c r="I72" s="203"/>
      <c r="J72" s="203"/>
      <c r="K72" s="231"/>
    </row>
    <row r="73" spans="1:11" ht="12.75" hidden="1">
      <c r="A73" s="225"/>
      <c r="B73" s="232" t="s">
        <v>81</v>
      </c>
      <c r="C73" s="246"/>
      <c r="D73" s="247" t="s">
        <v>60</v>
      </c>
      <c r="E73" s="256" t="s">
        <v>88</v>
      </c>
      <c r="F73" s="257"/>
      <c r="G73" s="257" t="s">
        <v>89</v>
      </c>
      <c r="H73" s="257"/>
      <c r="I73" s="225"/>
      <c r="J73" s="225"/>
      <c r="K73" s="231"/>
    </row>
    <row r="74" spans="1:11" ht="12.75" hidden="1">
      <c r="A74" s="225"/>
      <c r="B74" s="235" t="s">
        <v>90</v>
      </c>
      <c r="C74" s="249"/>
      <c r="D74" s="250">
        <f aca="true" t="shared" si="21" ref="D74:D81">+D15</f>
        <v>34256</v>
      </c>
      <c r="E74" s="258" t="s">
        <v>91</v>
      </c>
      <c r="F74" s="258" t="s">
        <v>92</v>
      </c>
      <c r="G74" s="258" t="s">
        <v>91</v>
      </c>
      <c r="H74" s="258" t="s">
        <v>92</v>
      </c>
      <c r="I74" s="225"/>
      <c r="J74" s="225"/>
      <c r="K74" s="231"/>
    </row>
    <row r="75" spans="1:11" ht="12.75" hidden="1">
      <c r="A75" s="225"/>
      <c r="B75" s="235" t="s">
        <v>93</v>
      </c>
      <c r="C75" s="249"/>
      <c r="D75" s="250">
        <f t="shared" si="21"/>
        <v>34361</v>
      </c>
      <c r="E75" s="258">
        <f>IF(D16-D$15&gt;(91+45),1,0)</f>
        <v>0</v>
      </c>
      <c r="F75" s="255">
        <f>IF(G64=1,0,IF(D16-D$15&lt;(91-45),1,0))</f>
        <v>0</v>
      </c>
      <c r="G75" s="255">
        <f>IF(D16-D$15&gt;(183+60),1,0)</f>
        <v>0</v>
      </c>
      <c r="H75" s="255">
        <f>IF(D16-D$15&lt;(183-60),1,0)</f>
        <v>1</v>
      </c>
      <c r="I75" s="225"/>
      <c r="J75" s="225"/>
      <c r="K75" s="226"/>
    </row>
    <row r="76" spans="1:11" ht="12.75" hidden="1">
      <c r="A76" s="225"/>
      <c r="B76" s="235"/>
      <c r="C76" s="249"/>
      <c r="D76" s="250">
        <f t="shared" si="21"/>
        <v>34479</v>
      </c>
      <c r="E76" s="258">
        <f>IF(D17-D$15&gt;(91*2+45),1,0)</f>
        <v>0</v>
      </c>
      <c r="F76" s="255">
        <f>IF(G65=1,0,IF(D17-D$15&lt;(91*2-45),1,0))</f>
        <v>0</v>
      </c>
      <c r="G76" s="255">
        <f>IF(D17-D$15&gt;(183*2+60),1,0)</f>
        <v>0</v>
      </c>
      <c r="H76" s="255">
        <f>IF(D17-D$15&lt;(183*2-60),1,0)</f>
        <v>1</v>
      </c>
      <c r="I76" s="225"/>
      <c r="J76" s="225"/>
      <c r="K76" s="226"/>
    </row>
    <row r="77" spans="1:11" ht="13.5" hidden="1" thickBot="1">
      <c r="A77" s="225"/>
      <c r="B77" s="235" t="s">
        <v>94</v>
      </c>
      <c r="C77" s="249"/>
      <c r="D77" s="252">
        <f t="shared" si="21"/>
        <v>34556</v>
      </c>
      <c r="E77" s="259">
        <f>IF(D18-D$15&gt;(91*3+45),1,0)</f>
        <v>0</v>
      </c>
      <c r="F77" s="260">
        <f>IF(G66=1,0,IF(D18-D$15&lt;(91*3-45),1,0))</f>
        <v>0</v>
      </c>
      <c r="G77" s="260">
        <f>IF(D18-D$15&gt;(183*3+60),1,0)</f>
        <v>0</v>
      </c>
      <c r="H77" s="260">
        <f>IF(D18-D$15&lt;(183*3-60),1,0)</f>
        <v>1</v>
      </c>
      <c r="I77" s="225"/>
      <c r="J77" s="225"/>
      <c r="K77" s="226"/>
    </row>
    <row r="78" spans="1:11" ht="13.5" hidden="1" thickTop="1">
      <c r="A78" s="225"/>
      <c r="B78" s="235" t="s">
        <v>95</v>
      </c>
      <c r="C78" s="249"/>
      <c r="D78" s="253">
        <f t="shared" si="21"/>
        <v>34641</v>
      </c>
      <c r="E78" s="261">
        <f>IF(D19-D$15&gt;(91*4+45),1,0)</f>
        <v>0</v>
      </c>
      <c r="F78" s="262">
        <f>IF(G67=1,0,IF(D19-D$15&lt;(91*4-45),1,0))</f>
        <v>0</v>
      </c>
      <c r="G78" s="262">
        <f>IF(D19-D$15&gt;(183*4+60),1,0)</f>
        <v>0</v>
      </c>
      <c r="H78" s="262">
        <f>IF(D19-D$15&lt;(183*4-60),1,0)</f>
        <v>1</v>
      </c>
      <c r="I78" s="225"/>
      <c r="J78" s="225"/>
      <c r="K78" s="226"/>
    </row>
    <row r="79" spans="1:11" ht="12.75" hidden="1">
      <c r="A79" s="225"/>
      <c r="B79" s="235" t="s">
        <v>96</v>
      </c>
      <c r="C79" s="249"/>
      <c r="D79" s="250">
        <f t="shared" si="21"/>
        <v>34747</v>
      </c>
      <c r="E79" s="258">
        <f>IF(D20-D$15&gt;(91*5+45),1,0)</f>
        <v>0</v>
      </c>
      <c r="F79" s="255">
        <f>IF(G68=1,0,IF(D20-D$15&lt;(91*5-45),1,0))</f>
        <v>0</v>
      </c>
      <c r="G79" s="255">
        <f>IF(D20-D$15&gt;(183*5+60),1,0)</f>
        <v>0</v>
      </c>
      <c r="H79" s="255">
        <f>IF(D20-D$15&lt;(183*5-60),1,0)</f>
        <v>1</v>
      </c>
      <c r="I79" s="225"/>
      <c r="J79" s="225"/>
      <c r="K79" s="226"/>
    </row>
    <row r="80" spans="1:11" ht="12.75" hidden="1">
      <c r="A80" s="225"/>
      <c r="B80" s="235" t="s">
        <v>97</v>
      </c>
      <c r="C80" s="249"/>
      <c r="D80" s="250">
        <f t="shared" si="21"/>
        <v>34837</v>
      </c>
      <c r="E80" s="258">
        <f>IF(D21-D$15&gt;(91*6+45),1,0)</f>
        <v>0</v>
      </c>
      <c r="F80" s="255">
        <f>IF(G69=1,0,IF(D21-D$15&lt;(91*6-45),1,0))</f>
        <v>0</v>
      </c>
      <c r="G80" s="255">
        <f>IF(D21-D$15&gt;(183*6+60),1,0)</f>
        <v>0</v>
      </c>
      <c r="H80" s="255">
        <f>IF(D21-D$15&lt;(183*6-60),1,0)</f>
        <v>1</v>
      </c>
      <c r="I80" s="225"/>
      <c r="J80" s="225"/>
      <c r="K80" s="226"/>
    </row>
    <row r="81" spans="1:11" ht="13.5" hidden="1" thickBot="1">
      <c r="A81" s="225"/>
      <c r="B81" s="235" t="s">
        <v>98</v>
      </c>
      <c r="C81" s="249"/>
      <c r="D81" s="254">
        <f t="shared" si="21"/>
        <v>34908</v>
      </c>
      <c r="E81" s="263">
        <f>IF(D22-D$15&gt;(91*7+45),1,0)</f>
        <v>0</v>
      </c>
      <c r="F81" s="264">
        <f>IF(G70=1,0,IF(D22-D$15&lt;(91*7-45),1,0))</f>
        <v>0</v>
      </c>
      <c r="G81" s="264">
        <f>IF(D22-D$15&gt;(183*7+60),1,0)</f>
        <v>0</v>
      </c>
      <c r="H81" s="264">
        <f>IF(D22-D$15&lt;(183*7-60),1,0)</f>
        <v>1</v>
      </c>
      <c r="I81" s="225"/>
      <c r="J81" s="225"/>
      <c r="K81" s="226"/>
    </row>
    <row r="82" spans="1:11" ht="13.5" hidden="1" thickTop="1">
      <c r="A82" s="225"/>
      <c r="B82" s="235" t="s">
        <v>99</v>
      </c>
      <c r="C82" s="249"/>
      <c r="D82" s="265" t="s">
        <v>100</v>
      </c>
      <c r="E82" s="266">
        <f>SUM(E74:E81)</f>
        <v>0</v>
      </c>
      <c r="F82" s="267">
        <f>SUM(F74:F81)</f>
        <v>0</v>
      </c>
      <c r="G82" s="267">
        <f>SUM(G74:G81)</f>
        <v>0</v>
      </c>
      <c r="H82" s="267">
        <f>SUM(H74:H81)</f>
        <v>7</v>
      </c>
      <c r="I82" s="225"/>
      <c r="J82" s="225"/>
      <c r="K82" s="226"/>
    </row>
    <row r="83" spans="1:11" ht="12.75" hidden="1">
      <c r="A83" s="225"/>
      <c r="B83" s="243"/>
      <c r="C83" s="224"/>
      <c r="D83" s="268"/>
      <c r="E83" s="269" t="str">
        <f>IF(E82+F82&lt;0.5,"Quarterly","Not Quarterly")</f>
        <v>Quarterly</v>
      </c>
      <c r="F83" s="270"/>
      <c r="G83" s="269" t="str">
        <f>IF(G82+H82&lt;0.5,"Semi-Annual","Not semi-Annual")</f>
        <v>Not semi-Annual</v>
      </c>
      <c r="H83" s="270"/>
      <c r="I83" s="225"/>
      <c r="J83" s="225"/>
      <c r="K83" s="226"/>
    </row>
    <row r="84" spans="1:11" ht="12.75" hidden="1">
      <c r="A84" s="225"/>
      <c r="B84" s="225"/>
      <c r="C84" s="225"/>
      <c r="D84" s="225"/>
      <c r="E84" s="225"/>
      <c r="F84" s="225"/>
      <c r="G84" s="225"/>
      <c r="H84" s="225"/>
      <c r="I84" s="225"/>
      <c r="J84" s="225"/>
      <c r="K84" s="226"/>
    </row>
    <row r="85" spans="1:11" ht="12.75" hidden="1">
      <c r="A85" s="225"/>
      <c r="B85" s="232" t="s">
        <v>101</v>
      </c>
      <c r="C85" s="246"/>
      <c r="D85" s="271" t="s">
        <v>102</v>
      </c>
      <c r="E85" s="272">
        <f aca="true" t="shared" si="22" ref="E85:J92">IF((IF(COUNTIF(E$15:E$22,E15)=1,0,COUNTIF(E$15:E$22,E15)))=0,RANK(E15,E$15:E$22,1),RANK(E15,E$15:E$22,1)+((IF(COUNTIF(E$15:E$22,E15)=1,0,COUNTIF(E$15:E$22,E15)))-1)/2)</f>
        <v>8</v>
      </c>
      <c r="F85" s="272">
        <f t="shared" si="22"/>
        <v>1</v>
      </c>
      <c r="G85" s="272">
        <f t="shared" si="22"/>
        <v>8</v>
      </c>
      <c r="H85" s="272" t="e">
        <f t="shared" si="22"/>
        <v>#N/A</v>
      </c>
      <c r="I85" s="272">
        <f t="shared" si="22"/>
        <v>1</v>
      </c>
      <c r="J85" s="272">
        <f t="shared" si="22"/>
        <v>6</v>
      </c>
      <c r="K85" s="226"/>
    </row>
    <row r="86" spans="1:11" ht="12.75" hidden="1">
      <c r="A86" s="225"/>
      <c r="B86" s="235" t="s">
        <v>103</v>
      </c>
      <c r="C86" s="203"/>
      <c r="D86" s="271">
        <v>2</v>
      </c>
      <c r="E86" s="272">
        <f t="shared" si="22"/>
        <v>6</v>
      </c>
      <c r="F86" s="272">
        <f t="shared" si="22"/>
        <v>5</v>
      </c>
      <c r="G86" s="272">
        <f t="shared" si="22"/>
        <v>7</v>
      </c>
      <c r="H86" s="272" t="e">
        <f t="shared" si="22"/>
        <v>#N/A</v>
      </c>
      <c r="I86" s="272">
        <f t="shared" si="22"/>
        <v>5</v>
      </c>
      <c r="J86" s="272">
        <f t="shared" si="22"/>
        <v>1</v>
      </c>
      <c r="K86" s="226"/>
    </row>
    <row r="87" spans="1:11" ht="12.75" hidden="1">
      <c r="A87" s="225"/>
      <c r="B87" s="235"/>
      <c r="C87" s="203"/>
      <c r="D87" s="271">
        <v>3</v>
      </c>
      <c r="E87" s="272">
        <f t="shared" si="22"/>
        <v>5</v>
      </c>
      <c r="F87" s="272">
        <f t="shared" si="22"/>
        <v>2</v>
      </c>
      <c r="G87" s="272">
        <f t="shared" si="22"/>
        <v>4</v>
      </c>
      <c r="H87" s="272" t="e">
        <f t="shared" si="22"/>
        <v>#N/A</v>
      </c>
      <c r="I87" s="272">
        <f t="shared" si="22"/>
        <v>2</v>
      </c>
      <c r="J87" s="272">
        <f t="shared" si="22"/>
        <v>7</v>
      </c>
      <c r="K87" s="226"/>
    </row>
    <row r="88" spans="1:11" ht="13.5" hidden="1" thickBot="1">
      <c r="A88" s="225"/>
      <c r="B88" s="235"/>
      <c r="C88" s="203"/>
      <c r="D88" s="273">
        <v>4</v>
      </c>
      <c r="E88" s="274">
        <f t="shared" si="22"/>
        <v>4</v>
      </c>
      <c r="F88" s="274">
        <f t="shared" si="22"/>
        <v>8</v>
      </c>
      <c r="G88" s="274">
        <f t="shared" si="22"/>
        <v>5</v>
      </c>
      <c r="H88" s="274" t="e">
        <f t="shared" si="22"/>
        <v>#N/A</v>
      </c>
      <c r="I88" s="274">
        <f t="shared" si="22"/>
        <v>6</v>
      </c>
      <c r="J88" s="274">
        <f t="shared" si="22"/>
        <v>8</v>
      </c>
      <c r="K88" s="226"/>
    </row>
    <row r="89" spans="1:11" ht="13.5" hidden="1" thickTop="1">
      <c r="A89" s="225"/>
      <c r="B89" s="235"/>
      <c r="C89" s="203"/>
      <c r="D89" s="275">
        <v>5</v>
      </c>
      <c r="E89" s="276">
        <f t="shared" si="22"/>
        <v>3</v>
      </c>
      <c r="F89" s="276">
        <f t="shared" si="22"/>
        <v>4</v>
      </c>
      <c r="G89" s="276">
        <f t="shared" si="22"/>
        <v>6</v>
      </c>
      <c r="H89" s="276" t="e">
        <f t="shared" si="22"/>
        <v>#N/A</v>
      </c>
      <c r="I89" s="276">
        <f t="shared" si="22"/>
        <v>8</v>
      </c>
      <c r="J89" s="276">
        <f t="shared" si="22"/>
        <v>3.5</v>
      </c>
      <c r="K89" s="226"/>
    </row>
    <row r="90" spans="1:11" ht="12.75" hidden="1">
      <c r="A90" s="225"/>
      <c r="B90" s="235"/>
      <c r="C90" s="203"/>
      <c r="D90" s="271">
        <v>6</v>
      </c>
      <c r="E90" s="272">
        <f t="shared" si="22"/>
        <v>7</v>
      </c>
      <c r="F90" s="272">
        <f t="shared" si="22"/>
        <v>3</v>
      </c>
      <c r="G90" s="272">
        <f t="shared" si="22"/>
        <v>3</v>
      </c>
      <c r="H90" s="272" t="e">
        <f t="shared" si="22"/>
        <v>#N/A</v>
      </c>
      <c r="I90" s="272">
        <f t="shared" si="22"/>
        <v>3</v>
      </c>
      <c r="J90" s="272">
        <f t="shared" si="22"/>
        <v>3.5</v>
      </c>
      <c r="K90" s="226"/>
    </row>
    <row r="91" spans="1:11" ht="12.75" hidden="1">
      <c r="A91" s="225"/>
      <c r="B91" s="235"/>
      <c r="C91" s="203"/>
      <c r="D91" s="271">
        <v>7</v>
      </c>
      <c r="E91" s="272">
        <f t="shared" si="22"/>
        <v>1</v>
      </c>
      <c r="F91" s="272">
        <f t="shared" si="22"/>
        <v>7</v>
      </c>
      <c r="G91" s="272">
        <f t="shared" si="22"/>
        <v>1</v>
      </c>
      <c r="H91" s="272" t="e">
        <f t="shared" si="22"/>
        <v>#N/A</v>
      </c>
      <c r="I91" s="272">
        <f t="shared" si="22"/>
        <v>7</v>
      </c>
      <c r="J91" s="272">
        <f t="shared" si="22"/>
        <v>3.5</v>
      </c>
      <c r="K91" s="226"/>
    </row>
    <row r="92" spans="1:11" ht="12.75" hidden="1">
      <c r="A92" s="225"/>
      <c r="B92" s="243"/>
      <c r="C92" s="224"/>
      <c r="D92" s="255">
        <v>8</v>
      </c>
      <c r="E92" s="272">
        <f t="shared" si="22"/>
        <v>2</v>
      </c>
      <c r="F92" s="272">
        <f t="shared" si="22"/>
        <v>6</v>
      </c>
      <c r="G92" s="272">
        <f t="shared" si="22"/>
        <v>2</v>
      </c>
      <c r="H92" s="272" t="e">
        <f t="shared" si="22"/>
        <v>#N/A</v>
      </c>
      <c r="I92" s="272">
        <f t="shared" si="22"/>
        <v>4</v>
      </c>
      <c r="J92" s="272">
        <f t="shared" si="22"/>
        <v>3.5</v>
      </c>
      <c r="K92" s="226"/>
    </row>
    <row r="93" spans="1:11" ht="12.75" hidden="1">
      <c r="A93" s="225"/>
      <c r="B93" s="225"/>
      <c r="C93" s="225"/>
      <c r="D93" s="225"/>
      <c r="E93" s="225"/>
      <c r="F93" s="225"/>
      <c r="G93" s="225"/>
      <c r="H93" s="225"/>
      <c r="I93" s="225"/>
      <c r="J93" s="225"/>
      <c r="K93" s="226"/>
    </row>
    <row r="94" spans="1:11" ht="12.75" hidden="1">
      <c r="A94" s="225"/>
      <c r="B94" s="277" t="s">
        <v>104</v>
      </c>
      <c r="C94" s="278"/>
      <c r="D94" s="279"/>
      <c r="E94" s="280">
        <f aca="true" t="shared" si="23" ref="E94:J94">SUM(E85:E88)</f>
        <v>23</v>
      </c>
      <c r="F94" s="280">
        <f t="shared" si="23"/>
        <v>16</v>
      </c>
      <c r="G94" s="280">
        <f t="shared" si="23"/>
        <v>24</v>
      </c>
      <c r="H94" s="280" t="e">
        <f t="shared" si="23"/>
        <v>#N/A</v>
      </c>
      <c r="I94" s="280">
        <f t="shared" si="23"/>
        <v>14</v>
      </c>
      <c r="J94" s="280">
        <f t="shared" si="23"/>
        <v>22</v>
      </c>
      <c r="K94" s="226"/>
    </row>
    <row r="95" spans="1:11" ht="12.75" hidden="1">
      <c r="A95" s="225"/>
      <c r="B95" s="277" t="s">
        <v>105</v>
      </c>
      <c r="C95" s="278"/>
      <c r="D95" s="279"/>
      <c r="E95" s="280">
        <f aca="true" t="shared" si="24" ref="E95:J95">26-E94</f>
        <v>3</v>
      </c>
      <c r="F95" s="280">
        <f t="shared" si="24"/>
        <v>10</v>
      </c>
      <c r="G95" s="280">
        <f t="shared" si="24"/>
        <v>2</v>
      </c>
      <c r="H95" s="280" t="e">
        <f t="shared" si="24"/>
        <v>#N/A</v>
      </c>
      <c r="I95" s="280">
        <f t="shared" si="24"/>
        <v>12</v>
      </c>
      <c r="J95" s="280">
        <f t="shared" si="24"/>
        <v>4</v>
      </c>
      <c r="K95" s="226"/>
    </row>
    <row r="96" spans="1:11" ht="12.75" hidden="1">
      <c r="A96" s="225"/>
      <c r="B96" s="277" t="s">
        <v>106</v>
      </c>
      <c r="C96" s="278"/>
      <c r="D96" s="279"/>
      <c r="E96" s="280" t="str">
        <f aca="true" t="shared" si="25" ref="E96:J96">IF(E95&lt;=3,"Decreasing",IF(E95&gt;=13,"Increasing","No Trend"))</f>
        <v>Decreasing</v>
      </c>
      <c r="F96" s="280" t="str">
        <f t="shared" si="25"/>
        <v>No Trend</v>
      </c>
      <c r="G96" s="280" t="str">
        <f t="shared" si="25"/>
        <v>Decreasing</v>
      </c>
      <c r="H96" s="280" t="e">
        <f t="shared" si="25"/>
        <v>#N/A</v>
      </c>
      <c r="I96" s="280" t="str">
        <f t="shared" si="25"/>
        <v>No Trend</v>
      </c>
      <c r="J96" s="280" t="str">
        <f t="shared" si="25"/>
        <v>No Trend</v>
      </c>
      <c r="K96" s="226"/>
    </row>
    <row r="97" spans="1:11" s="202" customFormat="1" ht="12.75" hidden="1">
      <c r="A97" s="203"/>
      <c r="B97" s="203"/>
      <c r="C97" s="203"/>
      <c r="D97" s="203"/>
      <c r="E97" s="203"/>
      <c r="F97" s="203"/>
      <c r="G97" s="203"/>
      <c r="H97" s="203"/>
      <c r="I97" s="203"/>
      <c r="J97" s="203"/>
      <c r="K97" s="223"/>
    </row>
    <row r="98" spans="1:11" s="202" customFormat="1" ht="12.75">
      <c r="A98" s="203"/>
      <c r="B98" s="281"/>
      <c r="C98" s="281"/>
      <c r="D98" s="281"/>
      <c r="E98" s="281"/>
      <c r="F98" s="281"/>
      <c r="G98" s="281"/>
      <c r="H98" s="281"/>
      <c r="I98" s="281"/>
      <c r="J98" s="281"/>
      <c r="K98" s="223"/>
    </row>
    <row r="99" spans="1:11" s="202" customFormat="1" ht="12.75">
      <c r="A99" s="203"/>
      <c r="B99" s="281"/>
      <c r="C99" s="281"/>
      <c r="D99" s="281"/>
      <c r="E99" s="281"/>
      <c r="F99" s="281"/>
      <c r="G99" s="281"/>
      <c r="H99" s="281"/>
      <c r="I99" s="281"/>
      <c r="J99" s="281"/>
      <c r="K99" s="223"/>
    </row>
    <row r="100" spans="1:11" s="202" customFormat="1" ht="12.75">
      <c r="A100" s="203"/>
      <c r="B100" s="281"/>
      <c r="C100" s="281"/>
      <c r="D100" s="281"/>
      <c r="E100" s="281"/>
      <c r="F100" s="281"/>
      <c r="G100" s="281"/>
      <c r="H100" s="281"/>
      <c r="I100" s="281"/>
      <c r="J100" s="281"/>
      <c r="K100" s="223"/>
    </row>
    <row r="101" spans="1:11" s="202" customFormat="1" ht="12.75">
      <c r="A101" s="203"/>
      <c r="B101" s="281"/>
      <c r="C101" s="281"/>
      <c r="D101" s="281"/>
      <c r="E101" s="281"/>
      <c r="F101" s="281"/>
      <c r="G101" s="281"/>
      <c r="H101" s="281"/>
      <c r="I101" s="281"/>
      <c r="J101" s="281"/>
      <c r="K101" s="223"/>
    </row>
    <row r="102" spans="1:11" s="202" customFormat="1" ht="12.75">
      <c r="A102" s="203"/>
      <c r="B102" s="281"/>
      <c r="C102" s="281"/>
      <c r="D102" s="281"/>
      <c r="E102" s="281"/>
      <c r="F102" s="281"/>
      <c r="G102" s="281"/>
      <c r="H102" s="281"/>
      <c r="I102" s="281"/>
      <c r="J102" s="281"/>
      <c r="K102" s="223"/>
    </row>
    <row r="103" spans="1:11" s="202" customFormat="1" ht="12.75">
      <c r="A103" s="203"/>
      <c r="B103" s="281"/>
      <c r="C103" s="281"/>
      <c r="D103" s="281"/>
      <c r="E103" s="281"/>
      <c r="F103" s="281"/>
      <c r="G103" s="281"/>
      <c r="H103" s="281"/>
      <c r="I103" s="281"/>
      <c r="J103" s="281"/>
      <c r="K103" s="223"/>
    </row>
    <row r="104" spans="1:11" s="202" customFormat="1" ht="12.75">
      <c r="A104" s="203"/>
      <c r="B104" s="281"/>
      <c r="C104" s="281"/>
      <c r="D104" s="281"/>
      <c r="E104" s="281"/>
      <c r="F104" s="281"/>
      <c r="G104" s="281"/>
      <c r="H104" s="281"/>
      <c r="I104" s="281"/>
      <c r="J104" s="281"/>
      <c r="K104" s="223"/>
    </row>
    <row r="105" spans="1:11" s="202" customFormat="1" ht="12.75">
      <c r="A105" s="203"/>
      <c r="B105" s="281"/>
      <c r="C105" s="281"/>
      <c r="D105" s="281"/>
      <c r="E105" s="281"/>
      <c r="F105" s="281"/>
      <c r="G105" s="281"/>
      <c r="H105" s="281"/>
      <c r="I105" s="281"/>
      <c r="J105" s="281"/>
      <c r="K105" s="223"/>
    </row>
    <row r="106" spans="1:11" s="202" customFormat="1" ht="12.75">
      <c r="A106" s="203"/>
      <c r="B106" s="281"/>
      <c r="C106" s="281"/>
      <c r="D106" s="281"/>
      <c r="E106" s="281"/>
      <c r="F106" s="281"/>
      <c r="G106" s="281"/>
      <c r="H106" s="281"/>
      <c r="I106" s="281"/>
      <c r="J106" s="281"/>
      <c r="K106" s="223"/>
    </row>
    <row r="107" spans="1:11" s="202" customFormat="1" ht="12.75">
      <c r="A107" s="203"/>
      <c r="B107" s="281"/>
      <c r="C107" s="281"/>
      <c r="D107" s="281"/>
      <c r="E107" s="281"/>
      <c r="F107" s="281"/>
      <c r="G107" s="281"/>
      <c r="H107" s="281"/>
      <c r="I107" s="281"/>
      <c r="J107" s="281"/>
      <c r="K107" s="223"/>
    </row>
    <row r="108" spans="1:11" s="202" customFormat="1" ht="12.75">
      <c r="A108" s="203"/>
      <c r="B108" s="281"/>
      <c r="C108" s="281"/>
      <c r="D108" s="281"/>
      <c r="E108" s="281"/>
      <c r="F108" s="281"/>
      <c r="G108" s="281"/>
      <c r="H108" s="281"/>
      <c r="I108" s="281"/>
      <c r="J108" s="281"/>
      <c r="K108" s="223"/>
    </row>
    <row r="109" spans="1:11" s="202" customFormat="1" ht="12.75">
      <c r="A109" s="203"/>
      <c r="B109" s="281"/>
      <c r="C109" s="281"/>
      <c r="D109" s="281"/>
      <c r="E109" s="281"/>
      <c r="F109" s="281"/>
      <c r="G109" s="281"/>
      <c r="H109" s="281"/>
      <c r="I109" s="281"/>
      <c r="J109" s="281"/>
      <c r="K109" s="223"/>
    </row>
    <row r="110" spans="1:11" s="202" customFormat="1" ht="12.75">
      <c r="A110" s="203"/>
      <c r="B110" s="281"/>
      <c r="C110" s="281"/>
      <c r="D110" s="281"/>
      <c r="E110" s="281"/>
      <c r="F110" s="281"/>
      <c r="G110" s="281"/>
      <c r="H110" s="281"/>
      <c r="I110" s="281"/>
      <c r="J110" s="281"/>
      <c r="K110" s="223"/>
    </row>
    <row r="111" spans="1:11" s="202" customFormat="1" ht="12.75">
      <c r="A111" s="203"/>
      <c r="B111" s="281"/>
      <c r="C111" s="281"/>
      <c r="D111" s="281"/>
      <c r="E111" s="281"/>
      <c r="F111" s="281"/>
      <c r="G111" s="281"/>
      <c r="H111" s="281"/>
      <c r="I111" s="281"/>
      <c r="J111" s="281"/>
      <c r="K111" s="223"/>
    </row>
    <row r="112" spans="1:11" s="202" customFormat="1" ht="12.75">
      <c r="A112" s="203"/>
      <c r="B112" s="281"/>
      <c r="C112" s="281"/>
      <c r="D112" s="281"/>
      <c r="E112" s="281"/>
      <c r="F112" s="281"/>
      <c r="G112" s="281"/>
      <c r="H112" s="281"/>
      <c r="I112" s="281"/>
      <c r="J112" s="281"/>
      <c r="K112" s="223"/>
    </row>
    <row r="113" spans="1:11" s="202" customFormat="1" ht="12.75">
      <c r="A113" s="203"/>
      <c r="B113" s="281"/>
      <c r="C113" s="281"/>
      <c r="D113" s="281"/>
      <c r="E113" s="281"/>
      <c r="F113" s="281"/>
      <c r="G113" s="281"/>
      <c r="H113" s="281"/>
      <c r="I113" s="281"/>
      <c r="J113" s="281"/>
      <c r="K113" s="223"/>
    </row>
    <row r="114" spans="1:11" s="202" customFormat="1" ht="6" customHeight="1">
      <c r="A114" s="203"/>
      <c r="B114" s="281"/>
      <c r="C114" s="281"/>
      <c r="D114" s="281"/>
      <c r="E114" s="281"/>
      <c r="F114" s="281"/>
      <c r="G114" s="281"/>
      <c r="H114" s="281"/>
      <c r="I114" s="281"/>
      <c r="J114" s="281"/>
      <c r="K114" s="223"/>
    </row>
    <row r="115" spans="1:11" s="202" customFormat="1" ht="63.75" customHeight="1" hidden="1">
      <c r="A115" s="203"/>
      <c r="B115" s="281"/>
      <c r="C115" s="281"/>
      <c r="D115" s="281"/>
      <c r="E115" s="281"/>
      <c r="F115" s="281"/>
      <c r="G115" s="281"/>
      <c r="H115" s="281"/>
      <c r="I115" s="281"/>
      <c r="J115" s="281"/>
      <c r="K115" s="223"/>
    </row>
  </sheetData>
  <sheetProtection/>
  <mergeCells count="1">
    <mergeCell ref="E12:J12"/>
  </mergeCells>
  <conditionalFormatting sqref="E51:J58 E63:G70">
    <cfRule type="cellIs" priority="1" dxfId="17" operator="equal" stopIfTrue="1">
      <formula>-1</formula>
    </cfRule>
  </conditionalFormatting>
  <conditionalFormatting sqref="E26:J26">
    <cfRule type="cellIs" priority="2" dxfId="17" operator="equal" stopIfTrue="1">
      <formula>"n&lt;8"</formula>
    </cfRule>
  </conditionalFormatting>
  <conditionalFormatting sqref="F27">
    <cfRule type="cellIs" priority="3" dxfId="17" operator="equal" stopIfTrue="1">
      <formula>"Less Than Eight Dates Entered"</formula>
    </cfRule>
  </conditionalFormatting>
  <conditionalFormatting sqref="E25:J25">
    <cfRule type="cellIs" priority="4" dxfId="17" operator="equal" stopIfTrue="1">
      <formula>"n&lt;8"</formula>
    </cfRule>
    <cfRule type="cellIs" priority="5" dxfId="19" operator="equal" stopIfTrue="1">
      <formula>"Expanding"</formula>
    </cfRule>
  </conditionalFormatting>
  <dataValidations count="1">
    <dataValidation type="list" allowBlank="1" showInputMessage="1" showErrorMessage="1" sqref="D30">
      <formula1>whitney</formula1>
    </dataValidation>
  </dataValidations>
  <printOptions horizontalCentered="1"/>
  <pageMargins left="0.3" right="0.19" top="0.73" bottom="0.3" header="0.14" footer="0.3"/>
  <pageSetup blackAndWhite="1" horizontalDpi="240" verticalDpi="240" orientation="portrait" r:id="rId4"/>
  <headerFooter alignWithMargins="0">
    <oddHeader>&amp;L&amp;8Washington State Department of Ecology: TCP program&amp;R&amp;8&amp;D</oddHeader>
  </headerFooter>
  <drawing r:id="rId3"/>
  <legacyDrawing r:id="rId2"/>
</worksheet>
</file>

<file path=xl/worksheets/sheet9.xml><?xml version="1.0" encoding="utf-8"?>
<worksheet xmlns="http://schemas.openxmlformats.org/spreadsheetml/2006/main" xmlns:r="http://schemas.openxmlformats.org/officeDocument/2006/relationships">
  <sheetPr codeName="Sheet11">
    <pageSetUpPr fitToPage="1"/>
  </sheetPr>
  <dimension ref="A1:AZ147"/>
  <sheetViews>
    <sheetView showGridLines="0" showRowColHeaders="0" zoomScale="97" zoomScaleNormal="97" zoomScalePageLayoutView="0" workbookViewId="0" topLeftCell="A1">
      <selection activeCell="A1" sqref="A1"/>
    </sheetView>
  </sheetViews>
  <sheetFormatPr defaultColWidth="9.33203125" defaultRowHeight="12.75"/>
  <cols>
    <col min="1" max="1" width="1.171875" style="463" customWidth="1"/>
    <col min="2" max="2" width="0.82421875" style="463" customWidth="1"/>
    <col min="3" max="3" width="10.16015625" style="463" customWidth="1"/>
    <col min="4" max="4" width="7.5" style="463" customWidth="1"/>
    <col min="5" max="5" width="1.5" style="463" customWidth="1"/>
    <col min="6" max="6" width="7.33203125" style="463" customWidth="1"/>
    <col min="7" max="7" width="9.33203125" style="463" customWidth="1"/>
    <col min="8" max="24" width="6.33203125" style="463" customWidth="1"/>
    <col min="25" max="25" width="9.16015625" style="463" customWidth="1"/>
    <col min="26" max="26" width="8.5" style="464" customWidth="1"/>
    <col min="27" max="27" width="13.83203125" style="464" customWidth="1"/>
    <col min="28" max="28" width="11.83203125" style="464" customWidth="1"/>
    <col min="29" max="30" width="8.83203125" style="464" customWidth="1"/>
    <col min="31" max="31" width="11.5" style="463" customWidth="1"/>
    <col min="32" max="41" width="9" style="463" customWidth="1"/>
    <col min="42" max="45" width="9.5" style="463" customWidth="1"/>
    <col min="46" max="47" width="9.5" style="463" bestFit="1" customWidth="1"/>
    <col min="48" max="16384" width="8.83203125" style="463" customWidth="1"/>
  </cols>
  <sheetData>
    <row r="1" spans="1:24" ht="18" customHeight="1">
      <c r="A1" s="415"/>
      <c r="B1" s="416"/>
      <c r="C1" s="473" t="s">
        <v>402</v>
      </c>
      <c r="D1" s="416"/>
      <c r="E1" s="416"/>
      <c r="F1" s="416"/>
      <c r="G1" s="416"/>
      <c r="H1" s="416"/>
      <c r="I1" s="416"/>
      <c r="J1" s="416"/>
      <c r="K1" s="416"/>
      <c r="L1" s="416"/>
      <c r="M1" s="416"/>
      <c r="N1" s="416"/>
      <c r="O1" s="416"/>
      <c r="P1" s="416"/>
      <c r="Q1" s="416"/>
      <c r="R1" s="416"/>
      <c r="S1" s="416"/>
      <c r="T1" s="416"/>
      <c r="U1" s="416"/>
      <c r="V1" s="416"/>
      <c r="W1" s="416"/>
      <c r="X1" s="462"/>
    </row>
    <row r="2" spans="1:23" ht="13.5">
      <c r="A2" s="1002"/>
      <c r="B2" s="415"/>
      <c r="C2" s="418"/>
      <c r="D2" s="876" t="s">
        <v>141</v>
      </c>
      <c r="E2" s="861"/>
      <c r="F2" s="878" t="s">
        <v>433</v>
      </c>
      <c r="G2" s="465"/>
      <c r="H2" s="465"/>
      <c r="I2" s="465"/>
      <c r="J2" s="466"/>
      <c r="K2" s="466"/>
      <c r="L2" s="467"/>
      <c r="M2" s="415"/>
      <c r="N2" s="415"/>
      <c r="O2" s="415"/>
      <c r="P2" s="415"/>
      <c r="Q2" s="415"/>
      <c r="R2" s="415"/>
      <c r="S2" s="415"/>
      <c r="T2" s="415"/>
      <c r="U2" s="415"/>
      <c r="V2" s="415"/>
      <c r="W2" s="415"/>
    </row>
    <row r="3" spans="1:23" ht="12.75">
      <c r="A3" s="415"/>
      <c r="B3" s="415"/>
      <c r="C3" s="418"/>
      <c r="D3" s="876" t="s">
        <v>143</v>
      </c>
      <c r="E3" s="861"/>
      <c r="F3" s="878" t="s">
        <v>432</v>
      </c>
      <c r="G3" s="465"/>
      <c r="H3" s="465"/>
      <c r="I3" s="465"/>
      <c r="J3" s="466"/>
      <c r="K3" s="466"/>
      <c r="L3" s="467"/>
      <c r="M3" s="415"/>
      <c r="N3" s="415"/>
      <c r="O3" s="415"/>
      <c r="P3" s="415"/>
      <c r="Q3" s="415"/>
      <c r="R3" s="415"/>
      <c r="S3" s="415"/>
      <c r="T3" s="415"/>
      <c r="U3" s="415"/>
      <c r="V3" s="415"/>
      <c r="W3" s="415"/>
    </row>
    <row r="4" spans="1:23" ht="12.75">
      <c r="A4" s="415"/>
      <c r="B4" s="415"/>
      <c r="C4" s="418"/>
      <c r="D4" s="876" t="s">
        <v>293</v>
      </c>
      <c r="E4" s="861"/>
      <c r="F4" s="878" t="s">
        <v>431</v>
      </c>
      <c r="G4" s="468"/>
      <c r="H4" s="468"/>
      <c r="I4" s="465"/>
      <c r="J4" s="466"/>
      <c r="K4" s="466"/>
      <c r="L4" s="467"/>
      <c r="M4" s="415"/>
      <c r="N4" s="415"/>
      <c r="O4" s="415"/>
      <c r="P4" s="415"/>
      <c r="Q4" s="415"/>
      <c r="R4" s="415"/>
      <c r="S4" s="415"/>
      <c r="T4" s="415"/>
      <c r="U4" s="415"/>
      <c r="V4" s="415"/>
      <c r="W4" s="415"/>
    </row>
    <row r="5" spans="1:24" ht="13.5" thickBot="1">
      <c r="A5" s="419"/>
      <c r="B5" s="419"/>
      <c r="C5" s="419"/>
      <c r="D5" s="877" t="s">
        <v>403</v>
      </c>
      <c r="E5" s="862"/>
      <c r="F5" s="879" t="s">
        <v>29</v>
      </c>
      <c r="G5" s="469"/>
      <c r="H5" s="469"/>
      <c r="I5" s="470"/>
      <c r="J5" s="470"/>
      <c r="K5" s="470"/>
      <c r="L5" s="471"/>
      <c r="M5" s="419"/>
      <c r="N5" s="419"/>
      <c r="O5" s="419"/>
      <c r="P5" s="419"/>
      <c r="Q5" s="419"/>
      <c r="R5" s="419"/>
      <c r="S5" s="419"/>
      <c r="T5" s="419"/>
      <c r="U5" s="419"/>
      <c r="V5" s="419"/>
      <c r="W5" s="419"/>
      <c r="X5" s="472"/>
    </row>
    <row r="6" spans="1:23" ht="3" customHeight="1" thickTop="1">
      <c r="A6" s="415"/>
      <c r="B6" s="415"/>
      <c r="C6" s="429"/>
      <c r="D6" s="415"/>
      <c r="E6" s="415"/>
      <c r="F6" s="415"/>
      <c r="G6" s="415"/>
      <c r="H6" s="415"/>
      <c r="I6" s="415"/>
      <c r="J6" s="415"/>
      <c r="K6" s="415"/>
      <c r="L6" s="415"/>
      <c r="M6" s="415"/>
      <c r="N6" s="415"/>
      <c r="O6" s="415"/>
      <c r="P6" s="415"/>
      <c r="Q6" s="415"/>
      <c r="R6" s="415"/>
      <c r="S6" s="415"/>
      <c r="T6" s="415"/>
      <c r="U6" s="415"/>
      <c r="V6" s="415"/>
      <c r="W6" s="415"/>
    </row>
    <row r="7" spans="1:23" ht="13.5" customHeight="1">
      <c r="A7" s="415"/>
      <c r="B7" s="415"/>
      <c r="C7" s="863" t="s">
        <v>352</v>
      </c>
      <c r="D7" s="415"/>
      <c r="E7" s="415"/>
      <c r="F7" s="415"/>
      <c r="G7" s="415"/>
      <c r="H7" s="415"/>
      <c r="I7" s="415"/>
      <c r="J7" s="415"/>
      <c r="K7" s="415"/>
      <c r="L7" s="415"/>
      <c r="M7" s="415"/>
      <c r="N7" s="415" t="s">
        <v>398</v>
      </c>
      <c r="O7" s="415"/>
      <c r="P7" s="415"/>
      <c r="Q7" s="415"/>
      <c r="R7" s="415"/>
      <c r="S7" s="415"/>
      <c r="T7" s="415"/>
      <c r="U7" s="415"/>
      <c r="V7" s="415"/>
      <c r="W7" s="415"/>
    </row>
    <row r="8" spans="1:23" ht="2.25" customHeight="1" thickBot="1">
      <c r="A8" s="415"/>
      <c r="B8" s="415"/>
      <c r="C8" s="415"/>
      <c r="D8" s="415"/>
      <c r="E8" s="415"/>
      <c r="F8" s="415"/>
      <c r="G8" s="415"/>
      <c r="H8" s="415"/>
      <c r="I8" s="415"/>
      <c r="J8" s="415"/>
      <c r="K8" s="415"/>
      <c r="L8" s="415"/>
      <c r="M8" s="415"/>
      <c r="N8" s="415"/>
      <c r="O8" s="415"/>
      <c r="P8" s="415"/>
      <c r="Q8" s="415"/>
      <c r="R8" s="415"/>
      <c r="S8" s="415"/>
      <c r="T8" s="415"/>
      <c r="U8" s="415"/>
      <c r="V8" s="415"/>
      <c r="W8" s="415"/>
    </row>
    <row r="9" spans="1:48" s="472" customFormat="1" ht="13.5" thickBot="1">
      <c r="A9" s="423"/>
      <c r="B9" s="423"/>
      <c r="C9" s="874" t="s">
        <v>279</v>
      </c>
      <c r="D9" s="435"/>
      <c r="E9" s="435"/>
      <c r="F9" s="448"/>
      <c r="G9" s="448" t="s">
        <v>0</v>
      </c>
      <c r="H9" s="613" t="s">
        <v>438</v>
      </c>
      <c r="I9" s="614" t="s">
        <v>158</v>
      </c>
      <c r="J9" s="614" t="s">
        <v>439</v>
      </c>
      <c r="K9" s="614" t="s">
        <v>440</v>
      </c>
      <c r="L9" s="614"/>
      <c r="M9" s="614" t="s">
        <v>441</v>
      </c>
      <c r="N9" s="614" t="s">
        <v>434</v>
      </c>
      <c r="O9" s="614"/>
      <c r="P9" s="614" t="s">
        <v>9</v>
      </c>
      <c r="Q9" s="614" t="s">
        <v>164</v>
      </c>
      <c r="R9" s="614" t="s">
        <v>448</v>
      </c>
      <c r="S9" s="614" t="s">
        <v>165</v>
      </c>
      <c r="T9" s="614"/>
      <c r="U9" s="614"/>
      <c r="V9" s="614"/>
      <c r="W9" s="615"/>
      <c r="X9" s="474"/>
      <c r="Y9" s="463"/>
      <c r="Z9" s="464"/>
      <c r="AA9" s="464"/>
      <c r="AB9" s="464"/>
      <c r="AC9" s="464"/>
      <c r="AD9" s="464"/>
      <c r="AE9" s="463"/>
      <c r="AF9" s="463"/>
      <c r="AG9" s="463"/>
      <c r="AH9" s="463"/>
      <c r="AI9" s="463"/>
      <c r="AJ9" s="463"/>
      <c r="AK9" s="463"/>
      <c r="AL9" s="463"/>
      <c r="AM9" s="463"/>
      <c r="AN9" s="463"/>
      <c r="AO9" s="463"/>
      <c r="AP9" s="463"/>
      <c r="AQ9" s="463"/>
      <c r="AR9" s="463"/>
      <c r="AS9" s="463"/>
      <c r="AT9" s="463"/>
      <c r="AU9" s="463"/>
      <c r="AV9" s="463"/>
    </row>
    <row r="10" spans="1:48" s="472" customFormat="1" ht="12.75" hidden="1">
      <c r="A10" s="423"/>
      <c r="B10" s="423"/>
      <c r="C10" s="868"/>
      <c r="D10" s="423"/>
      <c r="E10" s="423"/>
      <c r="F10" s="436"/>
      <c r="G10" s="436"/>
      <c r="H10" s="476"/>
      <c r="I10" s="438"/>
      <c r="J10" s="438"/>
      <c r="K10" s="438"/>
      <c r="L10" s="438"/>
      <c r="M10" s="438"/>
      <c r="N10" s="438"/>
      <c r="O10" s="438"/>
      <c r="P10" s="438"/>
      <c r="Q10" s="438"/>
      <c r="R10" s="438"/>
      <c r="S10" s="438"/>
      <c r="T10" s="438"/>
      <c r="U10" s="438"/>
      <c r="V10" s="438"/>
      <c r="W10" s="477"/>
      <c r="X10" s="475"/>
      <c r="Y10" s="463"/>
      <c r="Z10" s="464"/>
      <c r="AA10" s="464"/>
      <c r="AB10" s="464"/>
      <c r="AC10" s="464"/>
      <c r="AD10" s="464"/>
      <c r="AE10" s="463"/>
      <c r="AF10" s="463"/>
      <c r="AG10" s="463"/>
      <c r="AH10" s="463"/>
      <c r="AI10" s="463"/>
      <c r="AJ10" s="463"/>
      <c r="AK10" s="463"/>
      <c r="AL10" s="463"/>
      <c r="AM10" s="463"/>
      <c r="AN10" s="463"/>
      <c r="AO10" s="463"/>
      <c r="AP10" s="463"/>
      <c r="AQ10" s="463"/>
      <c r="AR10" s="463"/>
      <c r="AS10" s="463"/>
      <c r="AT10" s="463"/>
      <c r="AU10" s="463"/>
      <c r="AV10" s="463"/>
    </row>
    <row r="11" spans="1:48" s="472" customFormat="1" ht="12.75">
      <c r="A11" s="423"/>
      <c r="B11" s="423"/>
      <c r="C11" s="944" t="s">
        <v>281</v>
      </c>
      <c r="D11" s="442"/>
      <c r="E11" s="442"/>
      <c r="F11" s="456"/>
      <c r="G11" s="456" t="s">
        <v>1</v>
      </c>
      <c r="H11" s="479">
        <v>0.001</v>
      </c>
      <c r="I11" s="480">
        <v>40</v>
      </c>
      <c r="J11" s="480">
        <v>56</v>
      </c>
      <c r="K11" s="480">
        <v>89</v>
      </c>
      <c r="L11" s="480"/>
      <c r="M11" s="480">
        <v>120</v>
      </c>
      <c r="N11" s="480"/>
      <c r="O11" s="480"/>
      <c r="P11" s="480">
        <v>100</v>
      </c>
      <c r="Q11" s="480">
        <v>99</v>
      </c>
      <c r="R11" s="480">
        <v>150</v>
      </c>
      <c r="S11" s="480">
        <v>150</v>
      </c>
      <c r="T11" s="480"/>
      <c r="U11" s="480"/>
      <c r="V11" s="480"/>
      <c r="W11" s="481"/>
      <c r="X11" s="475"/>
      <c r="Y11" s="463"/>
      <c r="Z11" s="464"/>
      <c r="AA11" s="464"/>
      <c r="AB11" s="464"/>
      <c r="AC11" s="464"/>
      <c r="AD11" s="464"/>
      <c r="AE11" s="463"/>
      <c r="AF11" s="463"/>
      <c r="AG11" s="463"/>
      <c r="AH11" s="463"/>
      <c r="AI11" s="463"/>
      <c r="AJ11" s="463"/>
      <c r="AK11" s="463"/>
      <c r="AL11" s="463"/>
      <c r="AM11" s="463"/>
      <c r="AN11" s="463"/>
      <c r="AO11" s="463"/>
      <c r="AP11" s="463"/>
      <c r="AQ11" s="463"/>
      <c r="AR11" s="463"/>
      <c r="AS11" s="463"/>
      <c r="AT11" s="463"/>
      <c r="AU11" s="463"/>
      <c r="AV11" s="463"/>
    </row>
    <row r="12" spans="1:48" s="472" customFormat="1" ht="13.5" thickBot="1">
      <c r="A12" s="423"/>
      <c r="B12" s="423"/>
      <c r="C12" s="944" t="s">
        <v>312</v>
      </c>
      <c r="D12" s="442"/>
      <c r="E12" s="442"/>
      <c r="F12" s="456"/>
      <c r="G12" s="456" t="s">
        <v>1</v>
      </c>
      <c r="H12" s="479">
        <v>0.001</v>
      </c>
      <c r="I12" s="480">
        <v>5</v>
      </c>
      <c r="J12" s="480">
        <v>12</v>
      </c>
      <c r="K12" s="480">
        <v>5</v>
      </c>
      <c r="L12" s="480"/>
      <c r="M12" s="480">
        <v>7</v>
      </c>
      <c r="N12" s="480"/>
      <c r="O12" s="480"/>
      <c r="P12" s="480">
        <v>12</v>
      </c>
      <c r="Q12" s="480">
        <v>23</v>
      </c>
      <c r="R12" s="480">
        <v>23</v>
      </c>
      <c r="S12" s="480">
        <v>23</v>
      </c>
      <c r="T12" s="480"/>
      <c r="U12" s="480"/>
      <c r="V12" s="480"/>
      <c r="W12" s="481"/>
      <c r="X12" s="475"/>
      <c r="Y12" s="463"/>
      <c r="Z12" s="464"/>
      <c r="AA12" s="464"/>
      <c r="AB12" s="464"/>
      <c r="AC12" s="464"/>
      <c r="AD12" s="464"/>
      <c r="AE12" s="463"/>
      <c r="AF12" s="463"/>
      <c r="AG12" s="463"/>
      <c r="AH12" s="463"/>
      <c r="AI12" s="463"/>
      <c r="AJ12" s="463"/>
      <c r="AK12" s="463"/>
      <c r="AL12" s="463"/>
      <c r="AM12" s="463"/>
      <c r="AN12" s="463"/>
      <c r="AO12" s="463"/>
      <c r="AP12" s="463"/>
      <c r="AQ12" s="463"/>
      <c r="AR12" s="463"/>
      <c r="AS12" s="463"/>
      <c r="AT12" s="463"/>
      <c r="AU12" s="463"/>
      <c r="AV12" s="463"/>
    </row>
    <row r="13" spans="1:48" s="472" customFormat="1" ht="13.5" hidden="1" thickBot="1">
      <c r="A13" s="423"/>
      <c r="B13" s="423"/>
      <c r="C13" s="485"/>
      <c r="D13" s="443"/>
      <c r="E13" s="443"/>
      <c r="F13" s="486"/>
      <c r="G13" s="443"/>
      <c r="H13" s="487"/>
      <c r="I13" s="488"/>
      <c r="J13" s="488"/>
      <c r="K13" s="488"/>
      <c r="L13" s="488"/>
      <c r="M13" s="488"/>
      <c r="N13" s="488"/>
      <c r="O13" s="488"/>
      <c r="P13" s="488"/>
      <c r="Q13" s="488"/>
      <c r="R13" s="488"/>
      <c r="S13" s="488"/>
      <c r="T13" s="488"/>
      <c r="U13" s="488"/>
      <c r="V13" s="488"/>
      <c r="W13" s="489"/>
      <c r="X13" s="475"/>
      <c r="Y13" s="463"/>
      <c r="Z13" s="464"/>
      <c r="AA13" s="464"/>
      <c r="AB13" s="464"/>
      <c r="AC13" s="464"/>
      <c r="AD13" s="464"/>
      <c r="AE13" s="463"/>
      <c r="AF13" s="463"/>
      <c r="AG13" s="463"/>
      <c r="AH13" s="463"/>
      <c r="AI13" s="463"/>
      <c r="AJ13" s="463"/>
      <c r="AK13" s="463"/>
      <c r="AL13" s="463"/>
      <c r="AM13" s="463"/>
      <c r="AN13" s="463"/>
      <c r="AO13" s="463"/>
      <c r="AP13" s="463"/>
      <c r="AQ13" s="463"/>
      <c r="AR13" s="463"/>
      <c r="AS13" s="463"/>
      <c r="AT13" s="463"/>
      <c r="AU13" s="463"/>
      <c r="AV13" s="463"/>
    </row>
    <row r="14" spans="1:48" s="472" customFormat="1" ht="13.5" hidden="1" thickBot="1">
      <c r="A14" s="423"/>
      <c r="B14" s="423"/>
      <c r="C14" s="432"/>
      <c r="D14" s="433"/>
      <c r="E14" s="433"/>
      <c r="F14" s="492"/>
      <c r="G14" s="433"/>
      <c r="H14" s="493"/>
      <c r="I14" s="494"/>
      <c r="J14" s="494"/>
      <c r="K14" s="494"/>
      <c r="L14" s="494"/>
      <c r="M14" s="494"/>
      <c r="N14" s="494"/>
      <c r="O14" s="494"/>
      <c r="P14" s="494"/>
      <c r="Q14" s="494"/>
      <c r="R14" s="494"/>
      <c r="S14" s="494"/>
      <c r="T14" s="494"/>
      <c r="U14" s="494"/>
      <c r="V14" s="494"/>
      <c r="W14" s="495"/>
      <c r="X14" s="475"/>
      <c r="Y14" s="463"/>
      <c r="Z14" s="464"/>
      <c r="AA14" s="464"/>
      <c r="AB14" s="464"/>
      <c r="AC14" s="464"/>
      <c r="AD14" s="464"/>
      <c r="AE14" s="463"/>
      <c r="AF14" s="463"/>
      <c r="AG14" s="463"/>
      <c r="AH14" s="463"/>
      <c r="AI14" s="463"/>
      <c r="AJ14" s="463"/>
      <c r="AK14" s="463"/>
      <c r="AL14" s="463"/>
      <c r="AM14" s="463"/>
      <c r="AN14" s="463"/>
      <c r="AO14" s="463"/>
      <c r="AP14" s="463"/>
      <c r="AQ14" s="463"/>
      <c r="AR14" s="463"/>
      <c r="AS14" s="463"/>
      <c r="AT14" s="463"/>
      <c r="AU14" s="463"/>
      <c r="AV14" s="463"/>
    </row>
    <row r="15" spans="1:48" s="472" customFormat="1" ht="3" customHeight="1">
      <c r="A15" s="423"/>
      <c r="B15" s="423"/>
      <c r="C15" s="458"/>
      <c r="D15" s="430"/>
      <c r="E15" s="430"/>
      <c r="F15" s="430"/>
      <c r="G15" s="431"/>
      <c r="H15" s="499"/>
      <c r="I15" s="500"/>
      <c r="J15" s="500"/>
      <c r="K15" s="500"/>
      <c r="L15" s="500"/>
      <c r="M15" s="500"/>
      <c r="N15" s="500"/>
      <c r="O15" s="500"/>
      <c r="P15" s="500"/>
      <c r="Q15" s="500"/>
      <c r="R15" s="500"/>
      <c r="S15" s="500"/>
      <c r="T15" s="500"/>
      <c r="U15" s="500"/>
      <c r="V15" s="500"/>
      <c r="W15" s="501"/>
      <c r="Y15" s="463"/>
      <c r="Z15" s="464"/>
      <c r="AA15" s="464"/>
      <c r="AB15" s="464"/>
      <c r="AC15" s="464"/>
      <c r="AD15" s="464"/>
      <c r="AE15" s="463"/>
      <c r="AF15" s="463"/>
      <c r="AG15" s="463"/>
      <c r="AH15" s="463"/>
      <c r="AI15" s="463"/>
      <c r="AJ15" s="463"/>
      <c r="AK15" s="463"/>
      <c r="AL15" s="463"/>
      <c r="AM15" s="463"/>
      <c r="AN15" s="463"/>
      <c r="AO15" s="463"/>
      <c r="AP15" s="463"/>
      <c r="AQ15" s="463"/>
      <c r="AR15" s="463"/>
      <c r="AS15" s="463"/>
      <c r="AT15" s="463"/>
      <c r="AU15" s="463"/>
      <c r="AV15" s="463"/>
    </row>
    <row r="16" spans="1:48" s="472" customFormat="1" ht="0.75" customHeight="1">
      <c r="A16" s="423"/>
      <c r="B16" s="423"/>
      <c r="C16" s="437"/>
      <c r="D16" s="423"/>
      <c r="E16" s="423"/>
      <c r="F16" s="502"/>
      <c r="G16" s="459"/>
      <c r="H16" s="503"/>
      <c r="I16" s="424"/>
      <c r="J16" s="424"/>
      <c r="K16" s="424"/>
      <c r="L16" s="424"/>
      <c r="M16" s="424"/>
      <c r="N16" s="424"/>
      <c r="O16" s="424"/>
      <c r="P16" s="424"/>
      <c r="Q16" s="424"/>
      <c r="R16" s="424"/>
      <c r="S16" s="424"/>
      <c r="T16" s="424"/>
      <c r="U16" s="424"/>
      <c r="V16" s="424"/>
      <c r="W16" s="504"/>
      <c r="Y16" s="463"/>
      <c r="Z16" s="464"/>
      <c r="AA16" s="464"/>
      <c r="AB16" s="464"/>
      <c r="AC16" s="464"/>
      <c r="AD16" s="464"/>
      <c r="AE16" s="463"/>
      <c r="AF16" s="463"/>
      <c r="AG16" s="463"/>
      <c r="AH16" s="463"/>
      <c r="AI16" s="463"/>
      <c r="AJ16" s="463"/>
      <c r="AK16" s="463"/>
      <c r="AL16" s="463"/>
      <c r="AM16" s="463"/>
      <c r="AN16" s="463"/>
      <c r="AO16" s="463"/>
      <c r="AP16" s="463"/>
      <c r="AQ16" s="463"/>
      <c r="AR16" s="463"/>
      <c r="AS16" s="463"/>
      <c r="AT16" s="463"/>
      <c r="AU16" s="463"/>
      <c r="AV16" s="463"/>
    </row>
    <row r="17" spans="1:48" s="472" customFormat="1" ht="12" customHeight="1" thickBot="1">
      <c r="A17" s="423"/>
      <c r="B17" s="423"/>
      <c r="C17" s="864" t="s">
        <v>140</v>
      </c>
      <c r="D17" s="865"/>
      <c r="E17" s="865"/>
      <c r="F17" s="866" t="s">
        <v>166</v>
      </c>
      <c r="G17" s="867" t="s">
        <v>6</v>
      </c>
      <c r="H17" s="868" t="s">
        <v>353</v>
      </c>
      <c r="I17" s="869"/>
      <c r="J17" s="869"/>
      <c r="K17" s="869"/>
      <c r="L17" s="424"/>
      <c r="M17" s="424"/>
      <c r="N17" s="424"/>
      <c r="O17" s="424"/>
      <c r="P17" s="424"/>
      <c r="Q17" s="424"/>
      <c r="R17" s="424"/>
      <c r="S17" s="424"/>
      <c r="T17" s="424"/>
      <c r="U17" s="424"/>
      <c r="V17" s="424"/>
      <c r="W17" s="504"/>
      <c r="Y17" s="463"/>
      <c r="Z17" s="464"/>
      <c r="AA17" s="464"/>
      <c r="AB17" s="464"/>
      <c r="AC17" s="464"/>
      <c r="AD17" s="464"/>
      <c r="AE17" s="463"/>
      <c r="AF17" s="463"/>
      <c r="AG17" s="463"/>
      <c r="AH17" s="463"/>
      <c r="AI17" s="463"/>
      <c r="AJ17" s="463"/>
      <c r="AK17" s="463"/>
      <c r="AL17" s="463"/>
      <c r="AM17" s="463"/>
      <c r="AN17" s="463"/>
      <c r="AO17" s="463"/>
      <c r="AP17" s="463"/>
      <c r="AQ17" s="463"/>
      <c r="AR17" s="463"/>
      <c r="AS17" s="463"/>
      <c r="AT17" s="463"/>
      <c r="AU17" s="463"/>
      <c r="AV17" s="463"/>
    </row>
    <row r="18" spans="1:48" s="472" customFormat="1" ht="12.75">
      <c r="A18" s="423"/>
      <c r="B18" s="423"/>
      <c r="C18" s="506" t="s">
        <v>118</v>
      </c>
      <c r="D18" s="440"/>
      <c r="E18" s="440"/>
      <c r="F18" s="670">
        <v>34040</v>
      </c>
      <c r="G18" s="671">
        <v>0</v>
      </c>
      <c r="H18" s="507">
        <v>8560</v>
      </c>
      <c r="I18" s="508">
        <v>4260</v>
      </c>
      <c r="J18" s="508">
        <v>458</v>
      </c>
      <c r="K18" s="508">
        <v>20</v>
      </c>
      <c r="L18" s="508"/>
      <c r="M18" s="508">
        <v>1500</v>
      </c>
      <c r="N18" s="508"/>
      <c r="O18" s="508"/>
      <c r="P18" s="508">
        <v>200</v>
      </c>
      <c r="Q18" s="508">
        <v>450</v>
      </c>
      <c r="R18" s="508">
        <v>1000</v>
      </c>
      <c r="S18" s="508">
        <v>1000</v>
      </c>
      <c r="T18" s="508"/>
      <c r="U18" s="508"/>
      <c r="V18" s="508"/>
      <c r="W18" s="509"/>
      <c r="X18" s="475"/>
      <c r="Y18" s="463"/>
      <c r="Z18" s="464"/>
      <c r="AA18" s="464"/>
      <c r="AB18" s="464"/>
      <c r="AC18" s="464"/>
      <c r="AD18" s="464"/>
      <c r="AE18" s="463"/>
      <c r="AF18" s="463"/>
      <c r="AG18" s="463"/>
      <c r="AH18" s="463"/>
      <c r="AI18" s="463"/>
      <c r="AJ18" s="463"/>
      <c r="AK18" s="463"/>
      <c r="AL18" s="463"/>
      <c r="AM18" s="463"/>
      <c r="AN18" s="463"/>
      <c r="AO18" s="463"/>
      <c r="AP18" s="463"/>
      <c r="AQ18" s="463"/>
      <c r="AR18" s="463"/>
      <c r="AS18" s="463"/>
      <c r="AT18" s="463"/>
      <c r="AU18" s="463"/>
      <c r="AV18" s="463"/>
    </row>
    <row r="19" spans="1:48" s="472" customFormat="1" ht="12.75">
      <c r="A19" s="423"/>
      <c r="B19" s="423"/>
      <c r="C19" s="516" t="s">
        <v>119</v>
      </c>
      <c r="D19" s="442"/>
      <c r="E19" s="442"/>
      <c r="F19" s="672">
        <v>34100</v>
      </c>
      <c r="G19" s="673">
        <f>IF(ISBLANK(F19),"",AtteuationRate_calc!G15)</f>
        <v>60</v>
      </c>
      <c r="H19" s="479">
        <v>4567</v>
      </c>
      <c r="I19" s="480">
        <v>5600</v>
      </c>
      <c r="J19" s="480">
        <v>289</v>
      </c>
      <c r="K19" s="480">
        <v>35</v>
      </c>
      <c r="L19" s="480"/>
      <c r="M19" s="480"/>
      <c r="N19" s="480"/>
      <c r="O19" s="480"/>
      <c r="P19" s="480">
        <v>490</v>
      </c>
      <c r="Q19" s="480">
        <v>490</v>
      </c>
      <c r="R19" s="480"/>
      <c r="S19" s="480"/>
      <c r="T19" s="480"/>
      <c r="U19" s="480"/>
      <c r="V19" s="480"/>
      <c r="W19" s="481"/>
      <c r="X19" s="475"/>
      <c r="Y19" s="463"/>
      <c r="Z19" s="464"/>
      <c r="AA19" s="464"/>
      <c r="AB19" s="464"/>
      <c r="AC19" s="464"/>
      <c r="AD19" s="464"/>
      <c r="AE19" s="463"/>
      <c r="AF19" s="463"/>
      <c r="AG19" s="463"/>
      <c r="AH19" s="463"/>
      <c r="AI19" s="463"/>
      <c r="AJ19" s="463"/>
      <c r="AK19" s="463"/>
      <c r="AL19" s="463"/>
      <c r="AM19" s="463"/>
      <c r="AN19" s="463"/>
      <c r="AO19" s="463"/>
      <c r="AP19" s="463"/>
      <c r="AQ19" s="463"/>
      <c r="AR19" s="463"/>
      <c r="AS19" s="463"/>
      <c r="AT19" s="463"/>
      <c r="AU19" s="463"/>
      <c r="AV19" s="463"/>
    </row>
    <row r="20" spans="1:48" s="472" customFormat="1" ht="12.75">
      <c r="A20" s="423"/>
      <c r="B20" s="423"/>
      <c r="C20" s="516" t="s">
        <v>120</v>
      </c>
      <c r="D20" s="442"/>
      <c r="E20" s="442"/>
      <c r="F20" s="672">
        <v>34229</v>
      </c>
      <c r="G20" s="673">
        <f>IF(ISBLANK(F20),"",AtteuationRate_calc!G16)</f>
        <v>189</v>
      </c>
      <c r="H20" s="479">
        <v>8990</v>
      </c>
      <c r="I20" s="480">
        <v>4500</v>
      </c>
      <c r="J20" s="480">
        <v>320</v>
      </c>
      <c r="K20" s="480">
        <v>67</v>
      </c>
      <c r="L20" s="480"/>
      <c r="M20" s="480">
        <v>1900</v>
      </c>
      <c r="N20" s="480"/>
      <c r="O20" s="480"/>
      <c r="P20" s="480"/>
      <c r="Q20" s="480">
        <v>378</v>
      </c>
      <c r="R20" s="480">
        <v>789</v>
      </c>
      <c r="S20" s="480"/>
      <c r="T20" s="480"/>
      <c r="U20" s="480"/>
      <c r="V20" s="480"/>
      <c r="W20" s="481"/>
      <c r="X20" s="475"/>
      <c r="Y20" s="463"/>
      <c r="Z20" s="464"/>
      <c r="AA20" s="464"/>
      <c r="AB20" s="464"/>
      <c r="AC20" s="464"/>
      <c r="AD20" s="464"/>
      <c r="AE20" s="463"/>
      <c r="AF20" s="463"/>
      <c r="AG20" s="463"/>
      <c r="AH20" s="463"/>
      <c r="AI20" s="463"/>
      <c r="AJ20" s="463"/>
      <c r="AK20" s="463"/>
      <c r="AL20" s="463"/>
      <c r="AM20" s="463"/>
      <c r="AN20" s="463"/>
      <c r="AO20" s="463"/>
      <c r="AP20" s="463"/>
      <c r="AQ20" s="463"/>
      <c r="AR20" s="463"/>
      <c r="AS20" s="463"/>
      <c r="AT20" s="463"/>
      <c r="AU20" s="463"/>
      <c r="AV20" s="463"/>
    </row>
    <row r="21" spans="1:48" s="472" customFormat="1" ht="12.75">
      <c r="A21" s="423"/>
      <c r="B21" s="423"/>
      <c r="C21" s="516" t="s">
        <v>121</v>
      </c>
      <c r="D21" s="442"/>
      <c r="E21" s="442"/>
      <c r="F21" s="672">
        <v>34600</v>
      </c>
      <c r="G21" s="673">
        <f>IF(ISBLANK(F21),"",AtteuationRate_calc!G17)</f>
        <v>560</v>
      </c>
      <c r="H21" s="479">
        <v>6789</v>
      </c>
      <c r="I21" s="480">
        <v>2200</v>
      </c>
      <c r="J21" s="480">
        <v>430</v>
      </c>
      <c r="K21" s="480">
        <v>120</v>
      </c>
      <c r="L21" s="480"/>
      <c r="M21" s="480">
        <v>1800</v>
      </c>
      <c r="N21" s="480">
        <v>2200</v>
      </c>
      <c r="O21" s="480"/>
      <c r="P21" s="480">
        <v>520</v>
      </c>
      <c r="Q21" s="480">
        <v>520</v>
      </c>
      <c r="R21" s="480"/>
      <c r="S21" s="480">
        <v>15</v>
      </c>
      <c r="T21" s="480"/>
      <c r="U21" s="480"/>
      <c r="V21" s="480"/>
      <c r="W21" s="481"/>
      <c r="X21" s="475"/>
      <c r="Y21" s="463"/>
      <c r="Z21" s="464"/>
      <c r="AA21" s="464"/>
      <c r="AB21" s="464"/>
      <c r="AC21" s="464"/>
      <c r="AD21" s="464"/>
      <c r="AE21" s="463"/>
      <c r="AF21" s="463"/>
      <c r="AG21" s="463"/>
      <c r="AH21" s="463"/>
      <c r="AI21" s="463"/>
      <c r="AJ21" s="463"/>
      <c r="AK21" s="463"/>
      <c r="AL21" s="463"/>
      <c r="AM21" s="463"/>
      <c r="AN21" s="463"/>
      <c r="AO21" s="463"/>
      <c r="AP21" s="463"/>
      <c r="AQ21" s="463"/>
      <c r="AR21" s="463"/>
      <c r="AS21" s="463"/>
      <c r="AT21" s="463"/>
      <c r="AU21" s="463"/>
      <c r="AV21" s="463"/>
    </row>
    <row r="22" spans="1:48" s="472" customFormat="1" ht="12.75">
      <c r="A22" s="423"/>
      <c r="B22" s="423"/>
      <c r="C22" s="516" t="s">
        <v>122</v>
      </c>
      <c r="D22" s="442"/>
      <c r="E22" s="442"/>
      <c r="F22" s="672">
        <v>35202</v>
      </c>
      <c r="G22" s="673">
        <f>IF(ISBLANK(F22),"",AtteuationRate_calc!G18)</f>
        <v>1162</v>
      </c>
      <c r="H22" s="479">
        <v>4777</v>
      </c>
      <c r="I22" s="480"/>
      <c r="J22" s="480">
        <v>246</v>
      </c>
      <c r="K22" s="480">
        <v>240</v>
      </c>
      <c r="L22" s="480"/>
      <c r="M22" s="480">
        <v>1300</v>
      </c>
      <c r="N22" s="480">
        <v>880</v>
      </c>
      <c r="O22" s="480"/>
      <c r="P22" s="480"/>
      <c r="Q22" s="480">
        <v>530</v>
      </c>
      <c r="R22" s="480">
        <v>1</v>
      </c>
      <c r="S22" s="480">
        <v>10</v>
      </c>
      <c r="T22" s="480"/>
      <c r="U22" s="480"/>
      <c r="V22" s="480"/>
      <c r="W22" s="481"/>
      <c r="X22" s="475"/>
      <c r="Y22" s="463"/>
      <c r="Z22" s="464"/>
      <c r="AA22" s="464"/>
      <c r="AB22" s="464"/>
      <c r="AC22" s="464"/>
      <c r="AD22" s="464"/>
      <c r="AE22" s="463"/>
      <c r="AF22" s="463"/>
      <c r="AG22" s="463"/>
      <c r="AH22" s="463"/>
      <c r="AI22" s="463"/>
      <c r="AJ22" s="463"/>
      <c r="AK22" s="463"/>
      <c r="AL22" s="463"/>
      <c r="AM22" s="463"/>
      <c r="AN22" s="463"/>
      <c r="AO22" s="463"/>
      <c r="AP22" s="463"/>
      <c r="AQ22" s="463"/>
      <c r="AR22" s="463"/>
      <c r="AS22" s="463"/>
      <c r="AT22" s="463"/>
      <c r="AU22" s="463"/>
      <c r="AV22" s="463"/>
    </row>
    <row r="23" spans="1:48" s="472" customFormat="1" ht="12.75">
      <c r="A23" s="423"/>
      <c r="B23" s="423"/>
      <c r="C23" s="516" t="s">
        <v>123</v>
      </c>
      <c r="D23" s="442"/>
      <c r="E23" s="442"/>
      <c r="F23" s="672">
        <v>35287</v>
      </c>
      <c r="G23" s="673">
        <f>IF(ISBLANK(F23),"",AtteuationRate_calc!G19)</f>
        <v>1247</v>
      </c>
      <c r="H23" s="479">
        <v>4410</v>
      </c>
      <c r="I23" s="480">
        <v>890</v>
      </c>
      <c r="J23" s="480"/>
      <c r="K23" s="480">
        <v>345</v>
      </c>
      <c r="L23" s="480"/>
      <c r="M23" s="480">
        <v>980</v>
      </c>
      <c r="N23" s="480"/>
      <c r="O23" s="480"/>
      <c r="P23" s="480">
        <v>650</v>
      </c>
      <c r="Q23" s="480">
        <v>650</v>
      </c>
      <c r="R23" s="480">
        <v>1</v>
      </c>
      <c r="S23" s="480">
        <v>1</v>
      </c>
      <c r="T23" s="480"/>
      <c r="U23" s="480"/>
      <c r="V23" s="480"/>
      <c r="W23" s="481"/>
      <c r="X23" s="475"/>
      <c r="Y23" s="463"/>
      <c r="Z23" s="464"/>
      <c r="AA23" s="464"/>
      <c r="AB23" s="464"/>
      <c r="AC23" s="464"/>
      <c r="AD23" s="464"/>
      <c r="AE23" s="463"/>
      <c r="AF23" s="463"/>
      <c r="AG23" s="463"/>
      <c r="AH23" s="463"/>
      <c r="AI23" s="463"/>
      <c r="AJ23" s="463"/>
      <c r="AK23" s="463"/>
      <c r="AL23" s="463"/>
      <c r="AM23" s="463"/>
      <c r="AN23" s="463"/>
      <c r="AO23" s="463"/>
      <c r="AP23" s="463"/>
      <c r="AQ23" s="463"/>
      <c r="AR23" s="463"/>
      <c r="AS23" s="463"/>
      <c r="AT23" s="463"/>
      <c r="AU23" s="463"/>
      <c r="AV23" s="463"/>
    </row>
    <row r="24" spans="1:48" s="472" customFormat="1" ht="12.75">
      <c r="A24" s="423"/>
      <c r="B24" s="423"/>
      <c r="C24" s="516" t="s">
        <v>124</v>
      </c>
      <c r="D24" s="442"/>
      <c r="E24" s="442"/>
      <c r="F24" s="672">
        <v>35376</v>
      </c>
      <c r="G24" s="673">
        <f>IF(ISBLANK(F24),"",AtteuationRate_calc!G20)</f>
        <v>1336</v>
      </c>
      <c r="H24" s="479">
        <v>3000</v>
      </c>
      <c r="I24" s="480">
        <v>378</v>
      </c>
      <c r="J24" s="480">
        <v>40</v>
      </c>
      <c r="K24" s="480"/>
      <c r="L24" s="480"/>
      <c r="M24" s="480">
        <v>620</v>
      </c>
      <c r="N24" s="480">
        <v>660</v>
      </c>
      <c r="O24" s="480"/>
      <c r="P24" s="480">
        <v>760</v>
      </c>
      <c r="Q24" s="480">
        <v>760</v>
      </c>
      <c r="R24" s="480"/>
      <c r="S24" s="480">
        <v>1</v>
      </c>
      <c r="T24" s="480"/>
      <c r="U24" s="480"/>
      <c r="V24" s="480"/>
      <c r="W24" s="481"/>
      <c r="X24" s="475"/>
      <c r="Y24" s="463"/>
      <c r="Z24" s="464"/>
      <c r="AA24" s="464"/>
      <c r="AB24" s="464"/>
      <c r="AC24" s="464"/>
      <c r="AD24" s="464"/>
      <c r="AE24" s="463"/>
      <c r="AF24" s="463"/>
      <c r="AG24" s="463"/>
      <c r="AH24" s="463"/>
      <c r="AI24" s="463"/>
      <c r="AJ24" s="463"/>
      <c r="AK24" s="463"/>
      <c r="AL24" s="463"/>
      <c r="AM24" s="463"/>
      <c r="AN24" s="463"/>
      <c r="AO24" s="463"/>
      <c r="AP24" s="463"/>
      <c r="AQ24" s="463"/>
      <c r="AR24" s="463"/>
      <c r="AS24" s="463"/>
      <c r="AT24" s="463"/>
      <c r="AU24" s="463"/>
      <c r="AV24" s="463"/>
    </row>
    <row r="25" spans="1:48" s="472" customFormat="1" ht="12.75">
      <c r="A25" s="423"/>
      <c r="B25" s="423"/>
      <c r="C25" s="516" t="s">
        <v>125</v>
      </c>
      <c r="D25" s="442"/>
      <c r="E25" s="442"/>
      <c r="F25" s="672">
        <v>35772</v>
      </c>
      <c r="G25" s="673">
        <f>IF(ISBLANK(F25),"",AtteuationRate_calc!G21)</f>
        <v>1732</v>
      </c>
      <c r="H25" s="479">
        <v>3800</v>
      </c>
      <c r="I25" s="480">
        <v>456</v>
      </c>
      <c r="J25" s="480">
        <v>23</v>
      </c>
      <c r="K25" s="480">
        <v>560</v>
      </c>
      <c r="L25" s="480"/>
      <c r="M25" s="480">
        <v>500</v>
      </c>
      <c r="N25" s="480">
        <v>339</v>
      </c>
      <c r="O25" s="480"/>
      <c r="P25" s="480">
        <v>360</v>
      </c>
      <c r="Q25" s="480">
        <v>360</v>
      </c>
      <c r="R25" s="480"/>
      <c r="S25" s="480">
        <v>1</v>
      </c>
      <c r="T25" s="480"/>
      <c r="U25" s="480"/>
      <c r="V25" s="480"/>
      <c r="W25" s="481"/>
      <c r="X25" s="475"/>
      <c r="Y25" s="463"/>
      <c r="Z25" s="464"/>
      <c r="AA25" s="464"/>
      <c r="AB25" s="464"/>
      <c r="AC25" s="464"/>
      <c r="AD25" s="464"/>
      <c r="AE25" s="463"/>
      <c r="AF25" s="463"/>
      <c r="AG25" s="463"/>
      <c r="AH25" s="463"/>
      <c r="AI25" s="463"/>
      <c r="AJ25" s="463"/>
      <c r="AK25" s="463"/>
      <c r="AL25" s="463"/>
      <c r="AM25" s="463"/>
      <c r="AN25" s="463"/>
      <c r="AO25" s="463"/>
      <c r="AP25" s="463"/>
      <c r="AQ25" s="463"/>
      <c r="AR25" s="463"/>
      <c r="AS25" s="463"/>
      <c r="AT25" s="463"/>
      <c r="AU25" s="463"/>
      <c r="AV25" s="463"/>
    </row>
    <row r="26" spans="1:48" s="472" customFormat="1" ht="12.75">
      <c r="A26" s="423"/>
      <c r="B26" s="423"/>
      <c r="C26" s="516" t="s">
        <v>144</v>
      </c>
      <c r="D26" s="442"/>
      <c r="E26" s="442"/>
      <c r="F26" s="672">
        <v>35881</v>
      </c>
      <c r="G26" s="673">
        <f>IF(ISBLANK(F26),"",AtteuationRate_calc!G22)</f>
        <v>1841</v>
      </c>
      <c r="H26" s="479">
        <v>2900</v>
      </c>
      <c r="I26" s="480">
        <v>78</v>
      </c>
      <c r="J26" s="480">
        <v>10</v>
      </c>
      <c r="K26" s="480"/>
      <c r="L26" s="480"/>
      <c r="M26" s="480">
        <v>635</v>
      </c>
      <c r="N26" s="480">
        <v>426</v>
      </c>
      <c r="O26" s="480"/>
      <c r="P26" s="480"/>
      <c r="Q26" s="480">
        <v>455</v>
      </c>
      <c r="R26" s="480"/>
      <c r="S26" s="480"/>
      <c r="T26" s="480"/>
      <c r="U26" s="480"/>
      <c r="V26" s="480"/>
      <c r="W26" s="481"/>
      <c r="X26" s="475"/>
      <c r="Y26" s="463"/>
      <c r="Z26" s="464"/>
      <c r="AA26" s="464"/>
      <c r="AB26" s="464"/>
      <c r="AC26" s="464"/>
      <c r="AD26" s="464"/>
      <c r="AE26" s="463"/>
      <c r="AF26" s="463"/>
      <c r="AG26" s="463"/>
      <c r="AH26" s="463"/>
      <c r="AI26" s="463"/>
      <c r="AJ26" s="463"/>
      <c r="AK26" s="463"/>
      <c r="AL26" s="463"/>
      <c r="AM26" s="463"/>
      <c r="AN26" s="463"/>
      <c r="AO26" s="463"/>
      <c r="AP26" s="463"/>
      <c r="AQ26" s="463"/>
      <c r="AR26" s="463"/>
      <c r="AS26" s="463"/>
      <c r="AT26" s="463"/>
      <c r="AU26" s="463"/>
      <c r="AV26" s="463"/>
    </row>
    <row r="27" spans="1:48" s="472" customFormat="1" ht="12.75">
      <c r="A27" s="423"/>
      <c r="B27" s="423"/>
      <c r="C27" s="516" t="s">
        <v>145</v>
      </c>
      <c r="D27" s="442"/>
      <c r="E27" s="442"/>
      <c r="F27" s="672">
        <v>35999</v>
      </c>
      <c r="G27" s="673">
        <f>IF(ISBLANK(F27),"",AtteuationRate_calc!G23)</f>
        <v>1959</v>
      </c>
      <c r="H27" s="479">
        <v>3200</v>
      </c>
      <c r="I27" s="480">
        <v>22</v>
      </c>
      <c r="J27" s="480">
        <v>4</v>
      </c>
      <c r="K27" s="480"/>
      <c r="L27" s="480"/>
      <c r="M27" s="480">
        <v>470</v>
      </c>
      <c r="N27" s="480">
        <v>419</v>
      </c>
      <c r="O27" s="480"/>
      <c r="P27" s="480"/>
      <c r="Q27" s="480">
        <v>467</v>
      </c>
      <c r="R27" s="480"/>
      <c r="S27" s="480"/>
      <c r="T27" s="480"/>
      <c r="U27" s="480"/>
      <c r="V27" s="480"/>
      <c r="W27" s="481"/>
      <c r="X27" s="475"/>
      <c r="Y27" s="463"/>
      <c r="Z27" s="464"/>
      <c r="AA27" s="464"/>
      <c r="AB27" s="464"/>
      <c r="AC27" s="464"/>
      <c r="AD27" s="464"/>
      <c r="AE27" s="463"/>
      <c r="AF27" s="463"/>
      <c r="AG27" s="463"/>
      <c r="AH27" s="463"/>
      <c r="AI27" s="463"/>
      <c r="AJ27" s="463"/>
      <c r="AK27" s="463"/>
      <c r="AL27" s="463"/>
      <c r="AM27" s="463"/>
      <c r="AN27" s="463"/>
      <c r="AO27" s="463"/>
      <c r="AP27" s="463"/>
      <c r="AQ27" s="463"/>
      <c r="AR27" s="463"/>
      <c r="AS27" s="463"/>
      <c r="AT27" s="463"/>
      <c r="AU27" s="463"/>
      <c r="AV27" s="463"/>
    </row>
    <row r="28" spans="1:48" s="472" customFormat="1" ht="12.75">
      <c r="A28" s="423"/>
      <c r="B28" s="423"/>
      <c r="C28" s="516" t="s">
        <v>146</v>
      </c>
      <c r="D28" s="442"/>
      <c r="E28" s="442"/>
      <c r="F28" s="672">
        <v>36056</v>
      </c>
      <c r="G28" s="673">
        <f>IF(ISBLANK(F28),"",AtteuationRate_calc!G24)</f>
        <v>2016</v>
      </c>
      <c r="H28" s="479">
        <v>3200</v>
      </c>
      <c r="I28" s="480">
        <v>8</v>
      </c>
      <c r="J28" s="480">
        <v>2</v>
      </c>
      <c r="K28" s="480"/>
      <c r="L28" s="480"/>
      <c r="M28" s="480">
        <v>1210</v>
      </c>
      <c r="N28" s="480"/>
      <c r="O28" s="480"/>
      <c r="P28" s="480"/>
      <c r="Q28" s="480"/>
      <c r="R28" s="480"/>
      <c r="S28" s="480"/>
      <c r="T28" s="480"/>
      <c r="U28" s="480"/>
      <c r="V28" s="480"/>
      <c r="W28" s="481"/>
      <c r="X28" s="475"/>
      <c r="Y28" s="463"/>
      <c r="Z28" s="464"/>
      <c r="AA28" s="464"/>
      <c r="AB28" s="464"/>
      <c r="AC28" s="464"/>
      <c r="AD28" s="464"/>
      <c r="AE28" s="463"/>
      <c r="AF28" s="463"/>
      <c r="AG28" s="463"/>
      <c r="AH28" s="463"/>
      <c r="AI28" s="463"/>
      <c r="AJ28" s="463"/>
      <c r="AK28" s="463"/>
      <c r="AL28" s="463"/>
      <c r="AM28" s="463"/>
      <c r="AN28" s="463"/>
      <c r="AO28" s="463"/>
      <c r="AP28" s="463"/>
      <c r="AQ28" s="463"/>
      <c r="AR28" s="463"/>
      <c r="AS28" s="463"/>
      <c r="AT28" s="463"/>
      <c r="AU28" s="463"/>
      <c r="AV28" s="463"/>
    </row>
    <row r="29" spans="1:48" s="472" customFormat="1" ht="12.75">
      <c r="A29" s="423"/>
      <c r="B29" s="423"/>
      <c r="C29" s="516" t="s">
        <v>147</v>
      </c>
      <c r="D29" s="442"/>
      <c r="E29" s="442"/>
      <c r="F29" s="672">
        <v>36145</v>
      </c>
      <c r="G29" s="673">
        <f>IF(ISBLANK(F29),"",AtteuationRate_calc!G25)</f>
        <v>2105</v>
      </c>
      <c r="H29" s="479">
        <v>1200</v>
      </c>
      <c r="I29" s="480">
        <v>12</v>
      </c>
      <c r="J29" s="480">
        <v>7</v>
      </c>
      <c r="K29" s="480"/>
      <c r="L29" s="480"/>
      <c r="M29" s="480">
        <v>379</v>
      </c>
      <c r="N29" s="480">
        <v>144</v>
      </c>
      <c r="O29" s="480"/>
      <c r="P29" s="480">
        <v>566</v>
      </c>
      <c r="Q29" s="480">
        <v>345</v>
      </c>
      <c r="R29" s="480"/>
      <c r="S29" s="480"/>
      <c r="T29" s="480"/>
      <c r="U29" s="480"/>
      <c r="V29" s="480"/>
      <c r="W29" s="481"/>
      <c r="X29" s="475"/>
      <c r="Y29" s="463"/>
      <c r="Z29" s="464"/>
      <c r="AA29" s="464"/>
      <c r="AB29" s="464"/>
      <c r="AC29" s="464"/>
      <c r="AD29" s="464"/>
      <c r="AE29" s="463"/>
      <c r="AF29" s="463"/>
      <c r="AG29" s="463"/>
      <c r="AH29" s="463"/>
      <c r="AI29" s="463"/>
      <c r="AJ29" s="463"/>
      <c r="AK29" s="463"/>
      <c r="AL29" s="463"/>
      <c r="AM29" s="463"/>
      <c r="AN29" s="463"/>
      <c r="AO29" s="463"/>
      <c r="AP29" s="463"/>
      <c r="AQ29" s="463"/>
      <c r="AR29" s="463"/>
      <c r="AS29" s="463"/>
      <c r="AT29" s="463"/>
      <c r="AU29" s="463"/>
      <c r="AV29" s="463"/>
    </row>
    <row r="30" spans="1:48" s="472" customFormat="1" ht="12" customHeight="1">
      <c r="A30" s="423"/>
      <c r="B30" s="423"/>
      <c r="C30" s="516" t="s">
        <v>148</v>
      </c>
      <c r="D30" s="442"/>
      <c r="E30" s="442"/>
      <c r="F30" s="672">
        <v>36220</v>
      </c>
      <c r="G30" s="673">
        <f>IF(ISBLANK(F30),"",AtteuationRate_calc!G26)</f>
        <v>2180</v>
      </c>
      <c r="H30" s="479">
        <v>2350</v>
      </c>
      <c r="I30" s="480">
        <v>5</v>
      </c>
      <c r="J30" s="480"/>
      <c r="K30" s="480"/>
      <c r="L30" s="480"/>
      <c r="M30" s="480">
        <v>700</v>
      </c>
      <c r="N30" s="480">
        <v>123</v>
      </c>
      <c r="O30" s="480"/>
      <c r="P30" s="480">
        <v>56</v>
      </c>
      <c r="Q30" s="480">
        <v>450</v>
      </c>
      <c r="R30" s="480"/>
      <c r="S30" s="480"/>
      <c r="T30" s="480"/>
      <c r="U30" s="480"/>
      <c r="V30" s="480"/>
      <c r="W30" s="481"/>
      <c r="X30" s="475"/>
      <c r="Y30" s="463"/>
      <c r="Z30" s="464"/>
      <c r="AA30" s="464"/>
      <c r="AB30" s="464"/>
      <c r="AC30" s="464"/>
      <c r="AD30" s="464"/>
      <c r="AE30" s="463"/>
      <c r="AF30" s="463"/>
      <c r="AG30" s="463"/>
      <c r="AH30" s="463"/>
      <c r="AI30" s="463"/>
      <c r="AJ30" s="463"/>
      <c r="AK30" s="463"/>
      <c r="AL30" s="463"/>
      <c r="AM30" s="463"/>
      <c r="AN30" s="463"/>
      <c r="AO30" s="463"/>
      <c r="AP30" s="463"/>
      <c r="AQ30" s="463"/>
      <c r="AR30" s="463"/>
      <c r="AS30" s="463"/>
      <c r="AT30" s="463"/>
      <c r="AU30" s="463"/>
      <c r="AV30" s="463"/>
    </row>
    <row r="31" spans="1:48" s="472" customFormat="1" ht="12.75">
      <c r="A31" s="423"/>
      <c r="B31" s="423"/>
      <c r="C31" s="516" t="s">
        <v>149</v>
      </c>
      <c r="D31" s="442"/>
      <c r="E31" s="442"/>
      <c r="F31" s="672">
        <v>36332</v>
      </c>
      <c r="G31" s="673">
        <f>IF(ISBLANK(F31),"",AtteuationRate_calc!G27)</f>
        <v>2292</v>
      </c>
      <c r="H31" s="479"/>
      <c r="I31" s="480"/>
      <c r="J31" s="480"/>
      <c r="K31" s="480"/>
      <c r="L31" s="480"/>
      <c r="M31" s="480">
        <v>574</v>
      </c>
      <c r="N31" s="480">
        <v>464</v>
      </c>
      <c r="O31" s="480"/>
      <c r="P31" s="480"/>
      <c r="Q31" s="480"/>
      <c r="R31" s="480"/>
      <c r="S31" s="480"/>
      <c r="T31" s="480"/>
      <c r="U31" s="480"/>
      <c r="V31" s="480"/>
      <c r="W31" s="481"/>
      <c r="X31" s="475"/>
      <c r="Y31" s="463"/>
      <c r="Z31" s="464"/>
      <c r="AA31" s="464"/>
      <c r="AB31" s="464"/>
      <c r="AC31" s="464"/>
      <c r="AD31" s="464"/>
      <c r="AE31" s="463"/>
      <c r="AF31" s="463"/>
      <c r="AG31" s="463"/>
      <c r="AH31" s="463"/>
      <c r="AI31" s="463"/>
      <c r="AJ31" s="463"/>
      <c r="AK31" s="463"/>
      <c r="AL31" s="463"/>
      <c r="AM31" s="463"/>
      <c r="AN31" s="463"/>
      <c r="AO31" s="463"/>
      <c r="AP31" s="463"/>
      <c r="AQ31" s="463"/>
      <c r="AR31" s="463"/>
      <c r="AS31" s="463"/>
      <c r="AT31" s="463"/>
      <c r="AU31" s="463"/>
      <c r="AV31" s="463"/>
    </row>
    <row r="32" spans="1:48" s="472" customFormat="1" ht="12.75">
      <c r="A32" s="423"/>
      <c r="B32" s="423"/>
      <c r="C32" s="516" t="s">
        <v>150</v>
      </c>
      <c r="D32" s="442"/>
      <c r="E32" s="442"/>
      <c r="F32" s="672">
        <v>36410</v>
      </c>
      <c r="G32" s="673">
        <f>IF(ISBLANK(F32),"",AtteuationRate_calc!G28)</f>
        <v>2370</v>
      </c>
      <c r="H32" s="479"/>
      <c r="I32" s="480"/>
      <c r="J32" s="480"/>
      <c r="K32" s="480"/>
      <c r="L32" s="480"/>
      <c r="M32" s="480">
        <v>1050</v>
      </c>
      <c r="N32" s="480">
        <v>155</v>
      </c>
      <c r="O32" s="480"/>
      <c r="P32" s="480"/>
      <c r="Q32" s="480"/>
      <c r="R32" s="480"/>
      <c r="S32" s="480"/>
      <c r="T32" s="480"/>
      <c r="U32" s="480"/>
      <c r="V32" s="480"/>
      <c r="W32" s="481"/>
      <c r="X32" s="475"/>
      <c r="Y32" s="463"/>
      <c r="Z32" s="464"/>
      <c r="AA32" s="464"/>
      <c r="AB32" s="464"/>
      <c r="AC32" s="464"/>
      <c r="AD32" s="464"/>
      <c r="AE32" s="463"/>
      <c r="AF32" s="463"/>
      <c r="AG32" s="463"/>
      <c r="AH32" s="463"/>
      <c r="AI32" s="463"/>
      <c r="AJ32" s="463"/>
      <c r="AK32" s="463"/>
      <c r="AL32" s="463"/>
      <c r="AM32" s="463"/>
      <c r="AN32" s="463"/>
      <c r="AO32" s="463"/>
      <c r="AP32" s="463"/>
      <c r="AQ32" s="463"/>
      <c r="AR32" s="463"/>
      <c r="AS32" s="463"/>
      <c r="AT32" s="463"/>
      <c r="AU32" s="463"/>
      <c r="AV32" s="463"/>
    </row>
    <row r="33" spans="1:48" s="472" customFormat="1" ht="12.75">
      <c r="A33" s="423"/>
      <c r="B33" s="423"/>
      <c r="C33" s="516" t="s">
        <v>151</v>
      </c>
      <c r="D33" s="442"/>
      <c r="E33" s="442"/>
      <c r="F33" s="672">
        <v>36524</v>
      </c>
      <c r="G33" s="1080">
        <f>IF(ISBLANK(F33),"",AtteuationRate_calc!G29)</f>
        <v>2484</v>
      </c>
      <c r="H33" s="1074"/>
      <c r="I33" s="1075"/>
      <c r="J33" s="1075"/>
      <c r="K33" s="1075"/>
      <c r="L33" s="1075"/>
      <c r="M33" s="1075">
        <v>525</v>
      </c>
      <c r="N33" s="1075">
        <v>220</v>
      </c>
      <c r="O33" s="1075"/>
      <c r="P33" s="1075"/>
      <c r="Q33" s="1075"/>
      <c r="R33" s="1075"/>
      <c r="S33" s="1075"/>
      <c r="T33" s="1075"/>
      <c r="U33" s="1075"/>
      <c r="V33" s="1075"/>
      <c r="W33" s="1076"/>
      <c r="X33" s="475"/>
      <c r="Y33" s="463"/>
      <c r="Z33" s="464"/>
      <c r="AA33" s="464"/>
      <c r="AB33" s="464"/>
      <c r="AC33" s="464"/>
      <c r="AD33" s="464"/>
      <c r="AE33" s="463"/>
      <c r="AF33" s="463"/>
      <c r="AG33" s="463"/>
      <c r="AH33" s="463"/>
      <c r="AI33" s="463"/>
      <c r="AJ33" s="463"/>
      <c r="AK33" s="463"/>
      <c r="AL33" s="463"/>
      <c r="AM33" s="463"/>
      <c r="AN33" s="463"/>
      <c r="AO33" s="463"/>
      <c r="AP33" s="463"/>
      <c r="AQ33" s="463"/>
      <c r="AR33" s="463"/>
      <c r="AS33" s="463"/>
      <c r="AT33" s="463"/>
      <c r="AU33" s="463"/>
      <c r="AV33" s="463"/>
    </row>
    <row r="34" spans="1:48" s="472" customFormat="1" ht="12.75">
      <c r="A34" s="423"/>
      <c r="B34" s="423"/>
      <c r="C34" s="516" t="s">
        <v>442</v>
      </c>
      <c r="D34" s="442"/>
      <c r="E34" s="442"/>
      <c r="F34" s="672">
        <v>36605</v>
      </c>
      <c r="G34" s="1080">
        <f>IF(ISBLANK(F34),"",AtteuationRate_calc!G30)</f>
        <v>2565</v>
      </c>
      <c r="H34" s="1074"/>
      <c r="I34" s="1075"/>
      <c r="J34" s="1075"/>
      <c r="K34" s="1075"/>
      <c r="L34" s="1075"/>
      <c r="M34" s="1075">
        <v>501</v>
      </c>
      <c r="N34" s="1075">
        <v>173</v>
      </c>
      <c r="O34" s="1075"/>
      <c r="P34" s="1075"/>
      <c r="Q34" s="1075"/>
      <c r="R34" s="1075"/>
      <c r="S34" s="1075"/>
      <c r="T34" s="1075"/>
      <c r="U34" s="1075"/>
      <c r="V34" s="1075"/>
      <c r="W34" s="1076"/>
      <c r="X34" s="475"/>
      <c r="Y34" s="463"/>
      <c r="Z34" s="464"/>
      <c r="AA34" s="464"/>
      <c r="AB34" s="464"/>
      <c r="AC34" s="464"/>
      <c r="AD34" s="464"/>
      <c r="AE34" s="463"/>
      <c r="AF34" s="463"/>
      <c r="AG34" s="463"/>
      <c r="AH34" s="463"/>
      <c r="AI34" s="463"/>
      <c r="AJ34" s="463"/>
      <c r="AK34" s="463"/>
      <c r="AL34" s="463"/>
      <c r="AM34" s="463"/>
      <c r="AN34" s="463"/>
      <c r="AO34" s="463"/>
      <c r="AP34" s="463"/>
      <c r="AQ34" s="463"/>
      <c r="AR34" s="463"/>
      <c r="AS34" s="463"/>
      <c r="AT34" s="463"/>
      <c r="AU34" s="463"/>
      <c r="AV34" s="463"/>
    </row>
    <row r="35" spans="1:48" s="472" customFormat="1" ht="12.75">
      <c r="A35" s="423"/>
      <c r="B35" s="423"/>
      <c r="C35" s="516" t="s">
        <v>443</v>
      </c>
      <c r="D35" s="442"/>
      <c r="E35" s="442"/>
      <c r="F35" s="672">
        <v>36699</v>
      </c>
      <c r="G35" s="1080">
        <f>IF(ISBLANK(F35),"",AtteuationRate_calc!G31)</f>
        <v>2659</v>
      </c>
      <c r="H35" s="1074"/>
      <c r="I35" s="1075"/>
      <c r="J35" s="1075"/>
      <c r="K35" s="1075"/>
      <c r="L35" s="1075"/>
      <c r="M35" s="1075">
        <v>420</v>
      </c>
      <c r="N35" s="1075">
        <v>146</v>
      </c>
      <c r="O35" s="1075"/>
      <c r="P35" s="1075"/>
      <c r="Q35" s="1075"/>
      <c r="R35" s="1075"/>
      <c r="S35" s="1075"/>
      <c r="T35" s="1075"/>
      <c r="U35" s="1075"/>
      <c r="V35" s="1075"/>
      <c r="W35" s="1076"/>
      <c r="X35" s="475"/>
      <c r="Y35" s="463"/>
      <c r="Z35" s="464"/>
      <c r="AA35" s="464"/>
      <c r="AB35" s="464"/>
      <c r="AC35" s="464"/>
      <c r="AD35" s="464"/>
      <c r="AE35" s="463"/>
      <c r="AF35" s="463"/>
      <c r="AG35" s="463"/>
      <c r="AH35" s="463"/>
      <c r="AI35" s="463"/>
      <c r="AJ35" s="463"/>
      <c r="AK35" s="463"/>
      <c r="AL35" s="463"/>
      <c r="AM35" s="463"/>
      <c r="AN35" s="463"/>
      <c r="AO35" s="463"/>
      <c r="AP35" s="463"/>
      <c r="AQ35" s="463"/>
      <c r="AR35" s="463"/>
      <c r="AS35" s="463"/>
      <c r="AT35" s="463"/>
      <c r="AU35" s="463"/>
      <c r="AV35" s="463"/>
    </row>
    <row r="36" spans="1:48" s="472" customFormat="1" ht="12.75">
      <c r="A36" s="423"/>
      <c r="B36" s="423"/>
      <c r="C36" s="516" t="s">
        <v>444</v>
      </c>
      <c r="D36" s="442"/>
      <c r="E36" s="442"/>
      <c r="F36" s="672"/>
      <c r="G36" s="1080">
        <f>IF(ISBLANK(F36),"",AtteuationRate_calc!G32)</f>
      </c>
      <c r="H36" s="1074"/>
      <c r="I36" s="1075"/>
      <c r="J36" s="1075"/>
      <c r="K36" s="1075"/>
      <c r="L36" s="1075"/>
      <c r="M36" s="1075"/>
      <c r="N36" s="1075"/>
      <c r="O36" s="1075"/>
      <c r="P36" s="1075"/>
      <c r="Q36" s="1075"/>
      <c r="R36" s="1075"/>
      <c r="S36" s="1075"/>
      <c r="T36" s="1075"/>
      <c r="U36" s="1075"/>
      <c r="V36" s="1075"/>
      <c r="W36" s="1076"/>
      <c r="X36" s="475"/>
      <c r="Y36" s="463"/>
      <c r="Z36" s="464"/>
      <c r="AA36" s="464"/>
      <c r="AB36" s="464"/>
      <c r="AC36" s="464"/>
      <c r="AD36" s="464"/>
      <c r="AE36" s="463"/>
      <c r="AF36" s="463"/>
      <c r="AG36" s="463"/>
      <c r="AH36" s="463"/>
      <c r="AI36" s="463"/>
      <c r="AJ36" s="463"/>
      <c r="AK36" s="463"/>
      <c r="AL36" s="463"/>
      <c r="AM36" s="463"/>
      <c r="AN36" s="463"/>
      <c r="AO36" s="463"/>
      <c r="AP36" s="463"/>
      <c r="AQ36" s="463"/>
      <c r="AR36" s="463"/>
      <c r="AS36" s="463"/>
      <c r="AT36" s="463"/>
      <c r="AU36" s="463"/>
      <c r="AV36" s="463"/>
    </row>
    <row r="37" spans="1:48" s="472" customFormat="1" ht="13.5" thickBot="1">
      <c r="A37" s="423"/>
      <c r="B37" s="423"/>
      <c r="C37" s="519" t="s">
        <v>445</v>
      </c>
      <c r="D37" s="433"/>
      <c r="E37" s="433"/>
      <c r="F37" s="674"/>
      <c r="G37" s="820">
        <f>IF(ISBLANK(F37),"",AtteuationRate_calc!G33)</f>
      </c>
      <c r="H37" s="520"/>
      <c r="I37" s="521"/>
      <c r="J37" s="521"/>
      <c r="K37" s="521"/>
      <c r="L37" s="521"/>
      <c r="M37" s="521"/>
      <c r="N37" s="521"/>
      <c r="O37" s="521"/>
      <c r="P37" s="521"/>
      <c r="Q37" s="521"/>
      <c r="R37" s="521"/>
      <c r="S37" s="521"/>
      <c r="T37" s="521"/>
      <c r="U37" s="521"/>
      <c r="V37" s="521"/>
      <c r="W37" s="522"/>
      <c r="X37" s="475"/>
      <c r="Y37" s="463"/>
      <c r="Z37" s="464"/>
      <c r="AA37" s="464"/>
      <c r="AB37" s="464"/>
      <c r="AC37" s="464"/>
      <c r="AD37" s="464"/>
      <c r="AE37" s="463"/>
      <c r="AF37" s="463"/>
      <c r="AG37" s="463"/>
      <c r="AH37" s="463"/>
      <c r="AI37" s="463"/>
      <c r="AJ37" s="463"/>
      <c r="AK37" s="463"/>
      <c r="AL37" s="463"/>
      <c r="AM37" s="463"/>
      <c r="AN37" s="463"/>
      <c r="AO37" s="463"/>
      <c r="AP37" s="463"/>
      <c r="AQ37" s="463"/>
      <c r="AR37" s="463"/>
      <c r="AS37" s="463"/>
      <c r="AT37" s="463"/>
      <c r="AU37" s="463"/>
      <c r="AV37" s="463"/>
    </row>
    <row r="38" spans="1:48" s="472" customFormat="1" ht="13.5" hidden="1" thickBot="1">
      <c r="A38" s="423"/>
      <c r="B38" s="423"/>
      <c r="C38" s="818"/>
      <c r="D38" s="423"/>
      <c r="E38" s="423"/>
      <c r="F38" s="819"/>
      <c r="G38" s="820"/>
      <c r="H38" s="821"/>
      <c r="I38" s="822"/>
      <c r="J38" s="822"/>
      <c r="K38" s="822"/>
      <c r="L38" s="822"/>
      <c r="M38" s="822"/>
      <c r="N38" s="822"/>
      <c r="O38" s="822"/>
      <c r="P38" s="822"/>
      <c r="Q38" s="822"/>
      <c r="R38" s="822"/>
      <c r="S38" s="822"/>
      <c r="T38" s="822"/>
      <c r="U38" s="822"/>
      <c r="V38" s="822"/>
      <c r="W38" s="823"/>
      <c r="X38" s="475"/>
      <c r="Y38" s="463"/>
      <c r="Z38" s="464"/>
      <c r="AA38" s="464"/>
      <c r="AB38" s="464"/>
      <c r="AC38" s="464"/>
      <c r="AD38" s="464"/>
      <c r="AE38" s="463"/>
      <c r="AF38" s="463"/>
      <c r="AG38" s="463"/>
      <c r="AH38" s="463"/>
      <c r="AI38" s="463"/>
      <c r="AJ38" s="463"/>
      <c r="AK38" s="463"/>
      <c r="AL38" s="463"/>
      <c r="AM38" s="463"/>
      <c r="AN38" s="463"/>
      <c r="AO38" s="463"/>
      <c r="AP38" s="463"/>
      <c r="AQ38" s="463"/>
      <c r="AR38" s="463"/>
      <c r="AS38" s="463"/>
      <c r="AT38" s="463"/>
      <c r="AU38" s="463"/>
      <c r="AV38" s="463"/>
    </row>
    <row r="39" spans="1:48" s="472" customFormat="1" ht="12.75">
      <c r="A39" s="423"/>
      <c r="B39" s="423"/>
      <c r="C39" s="439" t="s">
        <v>168</v>
      </c>
      <c r="D39" s="440"/>
      <c r="E39" s="440"/>
      <c r="F39" s="449"/>
      <c r="G39" s="523"/>
      <c r="H39" s="539">
        <f>AtteuationRate_calc!H37</f>
        <v>4441.7692307692305</v>
      </c>
      <c r="I39" s="540">
        <f>AtteuationRate_calc!I37</f>
        <v>1534.0833333333333</v>
      </c>
      <c r="J39" s="540">
        <f>AtteuationRate_calc!J37</f>
        <v>166.27272727272728</v>
      </c>
      <c r="K39" s="540">
        <f>AtteuationRate_calc!K37</f>
        <v>198.14285714285714</v>
      </c>
      <c r="L39" s="540" t="str">
        <f>AtteuationRate_calc!L37</f>
        <v>N/A</v>
      </c>
      <c r="M39" s="540">
        <f>AtteuationRate_calc!M37</f>
        <v>886.1176470588235</v>
      </c>
      <c r="N39" s="540">
        <f>AtteuationRate_calc!N37</f>
        <v>488.38461538461536</v>
      </c>
      <c r="O39" s="540" t="str">
        <f>AtteuationRate_calc!O37</f>
        <v>N/A</v>
      </c>
      <c r="P39" s="540">
        <f>AtteuationRate_calc!P37</f>
        <v>450.25</v>
      </c>
      <c r="Q39" s="540">
        <f>AtteuationRate_calc!Q37</f>
        <v>487.9166666666667</v>
      </c>
      <c r="R39" s="540">
        <f>AtteuationRate_calc!R37</f>
        <v>447.75</v>
      </c>
      <c r="S39" s="540">
        <f>AtteuationRate_calc!S37</f>
        <v>171.33333333333334</v>
      </c>
      <c r="T39" s="540" t="str">
        <f>AtteuationRate_calc!T37</f>
        <v>N/A</v>
      </c>
      <c r="U39" s="540" t="str">
        <f>AtteuationRate_calc!U37</f>
        <v>N/A</v>
      </c>
      <c r="V39" s="540" t="str">
        <f>AtteuationRate_calc!V37</f>
        <v>N/A</v>
      </c>
      <c r="W39" s="541" t="str">
        <f>AtteuationRate_calc!W37</f>
        <v>N/A</v>
      </c>
      <c r="X39" s="475"/>
      <c r="Y39" s="463"/>
      <c r="Z39" s="464"/>
      <c r="AA39" s="464"/>
      <c r="AB39" s="464"/>
      <c r="AC39" s="464"/>
      <c r="AD39" s="464"/>
      <c r="AE39" s="463"/>
      <c r="AF39" s="463"/>
      <c r="AG39" s="463"/>
      <c r="AH39" s="463"/>
      <c r="AI39" s="463"/>
      <c r="AJ39" s="463"/>
      <c r="AK39" s="463"/>
      <c r="AL39" s="463"/>
      <c r="AM39" s="463"/>
      <c r="AN39" s="463"/>
      <c r="AO39" s="463"/>
      <c r="AP39" s="463"/>
      <c r="AQ39" s="463"/>
      <c r="AR39" s="463"/>
      <c r="AS39" s="463"/>
      <c r="AT39" s="463"/>
      <c r="AU39" s="463"/>
      <c r="AV39" s="463"/>
    </row>
    <row r="40" spans="1:48" s="472" customFormat="1" ht="12.75">
      <c r="A40" s="423"/>
      <c r="B40" s="423"/>
      <c r="C40" s="441" t="s">
        <v>419</v>
      </c>
      <c r="D40" s="442"/>
      <c r="E40" s="442"/>
      <c r="F40" s="450"/>
      <c r="G40" s="525"/>
      <c r="H40" s="542">
        <f>IF(AtteuationRate_calc!H38=0,"NA",AtteuationRate_calc!H38)</f>
        <v>8990</v>
      </c>
      <c r="I40" s="543">
        <f>IF(AtteuationRate_calc!I38=0,"NA",AtteuationRate_calc!I38)</f>
        <v>5600</v>
      </c>
      <c r="J40" s="543">
        <f>IF(AtteuationRate_calc!J38=0,"NA",AtteuationRate_calc!J38)</f>
        <v>458</v>
      </c>
      <c r="K40" s="543">
        <f>IF(AtteuationRate_calc!K38=0,"NA",AtteuationRate_calc!K38)</f>
        <v>560</v>
      </c>
      <c r="L40" s="543" t="str">
        <f>IF(AtteuationRate_calc!L38=0,"NA",AtteuationRate_calc!L38)</f>
        <v>NA</v>
      </c>
      <c r="M40" s="543">
        <f>IF(AtteuationRate_calc!M38=0,"NA",AtteuationRate_calc!M38)</f>
        <v>1900</v>
      </c>
      <c r="N40" s="543">
        <f>IF(AtteuationRate_calc!N38=0,"NA",AtteuationRate_calc!N38)</f>
        <v>2200</v>
      </c>
      <c r="O40" s="543" t="str">
        <f>IF(AtteuationRate_calc!O38=0,"NA",AtteuationRate_calc!O38)</f>
        <v>NA</v>
      </c>
      <c r="P40" s="543">
        <f>IF(AtteuationRate_calc!P38=0,"NA",AtteuationRate_calc!P38)</f>
        <v>760</v>
      </c>
      <c r="Q40" s="543">
        <f>IF(AtteuationRate_calc!Q38=0,"NA",AtteuationRate_calc!Q38)</f>
        <v>760</v>
      </c>
      <c r="R40" s="543">
        <f>IF(AtteuationRate_calc!R38=0,"NA",AtteuationRate_calc!R38)</f>
        <v>1000</v>
      </c>
      <c r="S40" s="543">
        <f>IF(AtteuationRate_calc!S38=0,"NA",AtteuationRate_calc!S38)</f>
        <v>1000</v>
      </c>
      <c r="T40" s="543" t="str">
        <f>IF(AtteuationRate_calc!T38=0,"NA",AtteuationRate_calc!T38)</f>
        <v>NA</v>
      </c>
      <c r="U40" s="543" t="str">
        <f>IF(AtteuationRate_calc!U38=0,"NA",AtteuationRate_calc!U38)</f>
        <v>NA</v>
      </c>
      <c r="V40" s="543" t="str">
        <f>IF(AtteuationRate_calc!V38=0,"NA",AtteuationRate_calc!V38)</f>
        <v>NA</v>
      </c>
      <c r="W40" s="544" t="str">
        <f>IF(AtteuationRate_calc!W38=0,"NA",AtteuationRate_calc!W38)</f>
        <v>NA</v>
      </c>
      <c r="X40" s="475"/>
      <c r="Y40" s="463"/>
      <c r="Z40" s="464"/>
      <c r="AA40" s="464"/>
      <c r="AB40" s="464"/>
      <c r="AC40" s="464"/>
      <c r="AD40" s="464"/>
      <c r="AE40" s="463"/>
      <c r="AF40" s="463"/>
      <c r="AG40" s="463"/>
      <c r="AH40" s="463"/>
      <c r="AI40" s="463"/>
      <c r="AJ40" s="463"/>
      <c r="AK40" s="463"/>
      <c r="AL40" s="463"/>
      <c r="AM40" s="463"/>
      <c r="AN40" s="463"/>
      <c r="AO40" s="463"/>
      <c r="AP40" s="463"/>
      <c r="AQ40" s="463"/>
      <c r="AR40" s="463"/>
      <c r="AS40" s="463"/>
      <c r="AT40" s="463"/>
      <c r="AU40" s="463"/>
      <c r="AV40" s="463"/>
    </row>
    <row r="41" spans="1:48" s="472" customFormat="1" ht="13.5" thickBot="1">
      <c r="A41" s="423"/>
      <c r="B41" s="423"/>
      <c r="C41" s="528" t="s">
        <v>169</v>
      </c>
      <c r="D41" s="433"/>
      <c r="E41" s="433"/>
      <c r="F41" s="455"/>
      <c r="G41" s="433"/>
      <c r="H41" s="545">
        <f>IF(AtteuationRate_calc!H39=0,"NA",AtteuationRate_calc!H39)</f>
        <v>1200</v>
      </c>
      <c r="I41" s="546">
        <f>IF(AtteuationRate_calc!I39=0,"NA",AtteuationRate_calc!I39)</f>
        <v>5</v>
      </c>
      <c r="J41" s="546">
        <f>IF(AtteuationRate_calc!J39=0,"NA",AtteuationRate_calc!J39)</f>
        <v>2</v>
      </c>
      <c r="K41" s="546">
        <f>IF(AtteuationRate_calc!K39=0,"NA",AtteuationRate_calc!K39)</f>
        <v>20</v>
      </c>
      <c r="L41" s="546" t="str">
        <f>IF(AtteuationRate_calc!L39=0,"NA",AtteuationRate_calc!L39)</f>
        <v>NA</v>
      </c>
      <c r="M41" s="546">
        <f>IF(AtteuationRate_calc!M39=0,"NA",AtteuationRate_calc!M39)</f>
        <v>379</v>
      </c>
      <c r="N41" s="546">
        <f>IF(AtteuationRate_calc!N39=0,"NA",AtteuationRate_calc!N39)</f>
        <v>123</v>
      </c>
      <c r="O41" s="546" t="str">
        <f>IF(AtteuationRate_calc!O39=0,"NA",AtteuationRate_calc!O39)</f>
        <v>NA</v>
      </c>
      <c r="P41" s="546">
        <f>IF(AtteuationRate_calc!P39=0,"NA",AtteuationRate_calc!P39)</f>
        <v>56</v>
      </c>
      <c r="Q41" s="546">
        <f>IF(AtteuationRate_calc!Q39=0,"NA",AtteuationRate_calc!Q39)</f>
        <v>345</v>
      </c>
      <c r="R41" s="546">
        <f>IF(AtteuationRate_calc!R39=0,"NA",AtteuationRate_calc!R39)</f>
        <v>1</v>
      </c>
      <c r="S41" s="546">
        <f>IF(AtteuationRate_calc!S39=0,"NA",AtteuationRate_calc!S39)</f>
        <v>1</v>
      </c>
      <c r="T41" s="546" t="str">
        <f>IF(AtteuationRate_calc!T39=0,"NA",AtteuationRate_calc!T39)</f>
        <v>NA</v>
      </c>
      <c r="U41" s="546" t="str">
        <f>IF(AtteuationRate_calc!U39=0,"NA",AtteuationRate_calc!U39)</f>
        <v>NA</v>
      </c>
      <c r="V41" s="546" t="str">
        <f>IF(AtteuationRate_calc!V39=0,"NA",AtteuationRate_calc!V39)</f>
        <v>NA</v>
      </c>
      <c r="W41" s="547" t="str">
        <f>IF(AtteuationRate_calc!W39=0,"NA",AtteuationRate_calc!W39)</f>
        <v>NA</v>
      </c>
      <c r="X41" s="475"/>
      <c r="Y41" s="463"/>
      <c r="Z41" s="464"/>
      <c r="AA41" s="464"/>
      <c r="AB41" s="464"/>
      <c r="AC41" s="464"/>
      <c r="AD41" s="464"/>
      <c r="AE41" s="463"/>
      <c r="AF41" s="463"/>
      <c r="AG41" s="463"/>
      <c r="AH41" s="463"/>
      <c r="AI41" s="463"/>
      <c r="AJ41" s="463"/>
      <c r="AK41" s="463"/>
      <c r="AL41" s="463"/>
      <c r="AM41" s="463"/>
      <c r="AN41" s="463"/>
      <c r="AO41" s="463"/>
      <c r="AP41" s="463"/>
      <c r="AQ41" s="463"/>
      <c r="AR41" s="463"/>
      <c r="AS41" s="463"/>
      <c r="AT41" s="463"/>
      <c r="AU41" s="463"/>
      <c r="AV41" s="463"/>
    </row>
    <row r="42" spans="1:48" s="472" customFormat="1" ht="14.25" customHeight="1" hidden="1">
      <c r="A42" s="423"/>
      <c r="B42" s="423"/>
      <c r="C42" s="423" t="s">
        <v>302</v>
      </c>
      <c r="D42" s="423"/>
      <c r="E42" s="423"/>
      <c r="F42" s="453"/>
      <c r="G42" s="423"/>
      <c r="H42" s="530">
        <f>IF(ISERROR(AtteuationRate_calc!H96),"NA",AtteuationRate_calc!H96)</f>
        <v>0.9996293056539493</v>
      </c>
      <c r="I42" s="530">
        <f>IF(ISERROR(AtteuationRate_calc!I96),"NA",AtteuationRate_calc!I96)</f>
        <v>0.9999869873715387</v>
      </c>
      <c r="J42" s="530">
        <f>IF(ISERROR(AtteuationRate_calc!J96),"NA",AtteuationRate_calc!J96)</f>
        <v>0.9999405447035308</v>
      </c>
      <c r="K42" s="530">
        <f>IF(ISERROR(AtteuationRate_calc!K96),"NA",AtteuationRate_calc!K96)</f>
        <v>0.9996651159898657</v>
      </c>
      <c r="L42" s="530" t="str">
        <f>IF(ISERROR(AtteuationRate_calc!L96),"NA",AtteuationRate_calc!L96)</f>
        <v>NA</v>
      </c>
      <c r="M42" s="530">
        <f>IF(ISERROR(AtteuationRate_calc!M96),"NA",AtteuationRate_calc!M96)</f>
        <v>0.9997503832715733</v>
      </c>
      <c r="N42" s="530">
        <f>IF(ISERROR(AtteuationRate_calc!N96),"NA",AtteuationRate_calc!N96)</f>
        <v>0.9999581337402444</v>
      </c>
      <c r="O42" s="530" t="str">
        <f>IF(ISERROR(AtteuationRate_calc!O96),"NA",AtteuationRate_calc!O96)</f>
        <v>NA</v>
      </c>
      <c r="P42" s="530">
        <f>IF(ISERROR(AtteuationRate_calc!P96),"NA",AtteuationRate_calc!P96)</f>
        <v>0.40760799335322595</v>
      </c>
      <c r="Q42" s="530">
        <f>IF(ISERROR(AtteuationRate_calc!Q96),"NA",AtteuationRate_calc!Q96)</f>
        <v>0.29814036364919927</v>
      </c>
      <c r="R42" s="530">
        <f>IF(ISERROR(AtteuationRate_calc!R96),"NA",AtteuationRate_calc!R96)</f>
        <v>0.9940417353982837</v>
      </c>
      <c r="S42" s="530">
        <f>IF(ISERROR(AtteuationRate_calc!S96),"NA",AtteuationRate_calc!S96)</f>
        <v>0.9922439800264318</v>
      </c>
      <c r="T42" s="530" t="str">
        <f>IF(ISERROR(AtteuationRate_calc!T96),"NA",AtteuationRate_calc!T96)</f>
        <v>NA</v>
      </c>
      <c r="U42" s="530" t="str">
        <f>IF(ISERROR(AtteuationRate_calc!U96),"NA",AtteuationRate_calc!U96)</f>
        <v>NA</v>
      </c>
      <c r="V42" s="530" t="str">
        <f>IF(ISERROR(AtteuationRate_calc!V96),"NA",AtteuationRate_calc!V96)</f>
        <v>NA</v>
      </c>
      <c r="W42" s="530" t="str">
        <f>IF(ISERROR(AtteuationRate_calc!W96),"NA",AtteuationRate_calc!W96)</f>
        <v>NA</v>
      </c>
      <c r="Y42" s="463"/>
      <c r="Z42" s="464"/>
      <c r="AA42" s="464"/>
      <c r="AB42" s="464"/>
      <c r="AC42" s="464"/>
      <c r="AD42" s="464"/>
      <c r="AE42" s="463"/>
      <c r="AF42" s="463"/>
      <c r="AG42" s="463"/>
      <c r="AH42" s="463"/>
      <c r="AI42" s="463"/>
      <c r="AJ42" s="463"/>
      <c r="AK42" s="463"/>
      <c r="AL42" s="463"/>
      <c r="AM42" s="463"/>
      <c r="AN42" s="463"/>
      <c r="AO42" s="463"/>
      <c r="AP42" s="463"/>
      <c r="AQ42" s="463"/>
      <c r="AR42" s="463"/>
      <c r="AS42" s="463"/>
      <c r="AT42" s="463"/>
      <c r="AU42" s="463"/>
      <c r="AV42" s="463"/>
    </row>
    <row r="43" spans="1:48" s="472" customFormat="1" ht="12" customHeight="1" hidden="1">
      <c r="A43" s="423"/>
      <c r="B43" s="423"/>
      <c r="C43" s="423"/>
      <c r="D43" s="423"/>
      <c r="E43" s="423"/>
      <c r="F43" s="453"/>
      <c r="G43" s="423"/>
      <c r="H43" s="423"/>
      <c r="I43" s="423"/>
      <c r="J43" s="423"/>
      <c r="K43" s="423"/>
      <c r="L43" s="423"/>
      <c r="M43" s="423"/>
      <c r="N43" s="423"/>
      <c r="O43" s="423"/>
      <c r="P43" s="423"/>
      <c r="Q43" s="423"/>
      <c r="R43" s="423"/>
      <c r="S43" s="423"/>
      <c r="T43" s="423"/>
      <c r="U43" s="423"/>
      <c r="V43" s="423"/>
      <c r="W43" s="423"/>
      <c r="Y43" s="463"/>
      <c r="Z43" s="464"/>
      <c r="AA43" s="464"/>
      <c r="AB43" s="464"/>
      <c r="AC43" s="464"/>
      <c r="AD43" s="464"/>
      <c r="AE43" s="463"/>
      <c r="AF43" s="463"/>
      <c r="AG43" s="463"/>
      <c r="AH43" s="463"/>
      <c r="AI43" s="463"/>
      <c r="AJ43" s="463"/>
      <c r="AK43" s="463"/>
      <c r="AL43" s="463"/>
      <c r="AM43" s="463"/>
      <c r="AN43" s="463"/>
      <c r="AO43" s="463"/>
      <c r="AP43" s="463"/>
      <c r="AQ43" s="463"/>
      <c r="AR43" s="463"/>
      <c r="AS43" s="463"/>
      <c r="AT43" s="463"/>
      <c r="AU43" s="463"/>
      <c r="AV43" s="463"/>
    </row>
    <row r="44" spans="1:48" s="472" customFormat="1" ht="15.75">
      <c r="A44" s="423"/>
      <c r="B44" s="423"/>
      <c r="C44" s="502" t="s">
        <v>378</v>
      </c>
      <c r="D44" s="532"/>
      <c r="E44" s="532"/>
      <c r="F44" s="532"/>
      <c r="G44" s="532"/>
      <c r="H44" s="532"/>
      <c r="I44" s="532"/>
      <c r="J44" s="532"/>
      <c r="K44" s="533"/>
      <c r="L44" s="533"/>
      <c r="M44" s="533"/>
      <c r="N44" s="533"/>
      <c r="O44" s="533"/>
      <c r="P44" s="533"/>
      <c r="Q44" s="533"/>
      <c r="R44" s="533"/>
      <c r="S44" s="533"/>
      <c r="T44" s="533"/>
      <c r="U44" s="533"/>
      <c r="V44" s="423"/>
      <c r="W44" s="423"/>
      <c r="Y44" s="463"/>
      <c r="Z44" s="464"/>
      <c r="AA44" s="464"/>
      <c r="AB44" s="464"/>
      <c r="AC44" s="464"/>
      <c r="AD44" s="464"/>
      <c r="AE44" s="463"/>
      <c r="AF44" s="463"/>
      <c r="AG44" s="463"/>
      <c r="AH44" s="463"/>
      <c r="AI44" s="463"/>
      <c r="AJ44" s="463"/>
      <c r="AK44" s="463"/>
      <c r="AL44" s="463"/>
      <c r="AM44" s="463"/>
      <c r="AN44" s="463"/>
      <c r="AO44" s="463"/>
      <c r="AP44" s="463"/>
      <c r="AQ44" s="463"/>
      <c r="AR44" s="463"/>
      <c r="AS44" s="463"/>
      <c r="AT44" s="463"/>
      <c r="AU44" s="463"/>
      <c r="AV44" s="463"/>
    </row>
    <row r="45" spans="1:48" s="472" customFormat="1" ht="1.5" customHeight="1" thickBot="1">
      <c r="A45" s="423"/>
      <c r="B45" s="423"/>
      <c r="C45" s="423"/>
      <c r="D45" s="423"/>
      <c r="E45" s="423"/>
      <c r="F45" s="453"/>
      <c r="G45" s="423"/>
      <c r="H45" s="423"/>
      <c r="I45" s="423"/>
      <c r="J45" s="423"/>
      <c r="K45" s="423"/>
      <c r="L45" s="423"/>
      <c r="M45" s="423"/>
      <c r="N45" s="423"/>
      <c r="O45" s="423"/>
      <c r="P45" s="423"/>
      <c r="Q45" s="423"/>
      <c r="R45" s="423"/>
      <c r="S45" s="423"/>
      <c r="T45" s="423"/>
      <c r="U45" s="423"/>
      <c r="V45" s="423"/>
      <c r="W45" s="423"/>
      <c r="Y45" s="463"/>
      <c r="Z45" s="464"/>
      <c r="AA45" s="464"/>
      <c r="AB45" s="464"/>
      <c r="AC45" s="464"/>
      <c r="AD45" s="464"/>
      <c r="AE45" s="463"/>
      <c r="AF45" s="463"/>
      <c r="AG45" s="463"/>
      <c r="AH45" s="463"/>
      <c r="AI45" s="463"/>
      <c r="AJ45" s="463"/>
      <c r="AK45" s="463"/>
      <c r="AL45" s="463"/>
      <c r="AM45" s="463"/>
      <c r="AN45" s="463"/>
      <c r="AO45" s="463"/>
      <c r="AP45" s="463"/>
      <c r="AQ45" s="463"/>
      <c r="AR45" s="463"/>
      <c r="AS45" s="463"/>
      <c r="AT45" s="463"/>
      <c r="AU45" s="463"/>
      <c r="AV45" s="463"/>
    </row>
    <row r="46" spans="1:48" s="472" customFormat="1" ht="12.75" customHeight="1" thickBot="1">
      <c r="A46" s="423"/>
      <c r="B46" s="423"/>
      <c r="C46" s="874" t="str">
        <f>C9</f>
        <v>Well Location:</v>
      </c>
      <c r="D46" s="435"/>
      <c r="E46" s="435"/>
      <c r="F46" s="448"/>
      <c r="G46" s="435"/>
      <c r="H46" s="610" t="str">
        <f>IF(ISBLANK(H9),"NA",H9)</f>
        <v>MW-1</v>
      </c>
      <c r="I46" s="611" t="str">
        <f aca="true" t="shared" si="0" ref="I46:W46">IF(ISBLANK(I9),"NA",I9)</f>
        <v>MW-2</v>
      </c>
      <c r="J46" s="611" t="str">
        <f t="shared" si="0"/>
        <v>MW-3</v>
      </c>
      <c r="K46" s="611" t="str">
        <f t="shared" si="0"/>
        <v>MW-4</v>
      </c>
      <c r="L46" s="611" t="str">
        <f t="shared" si="0"/>
        <v>NA</v>
      </c>
      <c r="M46" s="611" t="str">
        <f t="shared" si="0"/>
        <v>MW-5</v>
      </c>
      <c r="N46" s="611" t="str">
        <f t="shared" si="0"/>
        <v>MW-11</v>
      </c>
      <c r="O46" s="611" t="str">
        <f t="shared" si="0"/>
        <v>NA</v>
      </c>
      <c r="P46" s="611" t="str">
        <f t="shared" si="0"/>
        <v>MW9</v>
      </c>
      <c r="Q46" s="611" t="str">
        <f t="shared" si="0"/>
        <v>MW10</v>
      </c>
      <c r="R46" s="611" t="str">
        <f t="shared" si="0"/>
        <v>MW-20</v>
      </c>
      <c r="S46" s="611" t="str">
        <f t="shared" si="0"/>
        <v>MW12</v>
      </c>
      <c r="T46" s="611" t="str">
        <f t="shared" si="0"/>
        <v>NA</v>
      </c>
      <c r="U46" s="611" t="str">
        <f t="shared" si="0"/>
        <v>NA</v>
      </c>
      <c r="V46" s="611" t="str">
        <f t="shared" si="0"/>
        <v>NA</v>
      </c>
      <c r="W46" s="612" t="str">
        <f t="shared" si="0"/>
        <v>NA</v>
      </c>
      <c r="Y46" s="463"/>
      <c r="Z46" s="464"/>
      <c r="AA46" s="464"/>
      <c r="AB46" s="464"/>
      <c r="AC46" s="464"/>
      <c r="AD46" s="464"/>
      <c r="AE46" s="463"/>
      <c r="AF46" s="463"/>
      <c r="AG46" s="463"/>
      <c r="AH46" s="463"/>
      <c r="AI46" s="463"/>
      <c r="AJ46" s="463"/>
      <c r="AK46" s="463"/>
      <c r="AL46" s="463"/>
      <c r="AM46" s="463"/>
      <c r="AN46" s="463"/>
      <c r="AO46" s="463"/>
      <c r="AP46" s="463"/>
      <c r="AQ46" s="463"/>
      <c r="AR46" s="463"/>
      <c r="AS46" s="463"/>
      <c r="AT46" s="463"/>
      <c r="AU46" s="463"/>
      <c r="AV46" s="463"/>
    </row>
    <row r="47" spans="1:48" s="472" customFormat="1" ht="13.5" thickBot="1">
      <c r="A47" s="423"/>
      <c r="B47" s="423"/>
      <c r="C47" s="870" t="str">
        <f aca="true" t="shared" si="1" ref="C47:C67">C17</f>
        <v>Sampling Event</v>
      </c>
      <c r="D47" s="871"/>
      <c r="E47" s="871"/>
      <c r="F47" s="872" t="str">
        <f>F17</f>
        <v>Date sampled</v>
      </c>
      <c r="G47" s="873" t="s">
        <v>159</v>
      </c>
      <c r="H47" s="874" t="s">
        <v>280</v>
      </c>
      <c r="I47" s="875"/>
      <c r="J47" s="875"/>
      <c r="K47" s="435"/>
      <c r="L47" s="435"/>
      <c r="M47" s="435"/>
      <c r="N47" s="435"/>
      <c r="O47" s="435"/>
      <c r="P47" s="435"/>
      <c r="Q47" s="435"/>
      <c r="R47" s="435"/>
      <c r="S47" s="435"/>
      <c r="T47" s="435"/>
      <c r="U47" s="435"/>
      <c r="V47" s="435"/>
      <c r="W47" s="454"/>
      <c r="X47" s="475"/>
      <c r="Y47" s="463"/>
      <c r="Z47" s="464"/>
      <c r="AA47" s="464"/>
      <c r="AB47" s="464"/>
      <c r="AC47" s="464"/>
      <c r="AD47" s="464"/>
      <c r="AE47" s="463"/>
      <c r="AF47" s="463"/>
      <c r="AG47" s="463"/>
      <c r="AH47" s="463"/>
      <c r="AI47" s="463"/>
      <c r="AJ47" s="463"/>
      <c r="AK47" s="463"/>
      <c r="AL47" s="463"/>
      <c r="AM47" s="463"/>
      <c r="AN47" s="463"/>
      <c r="AO47" s="463"/>
      <c r="AP47" s="463"/>
      <c r="AQ47" s="463"/>
      <c r="AR47" s="463"/>
      <c r="AS47" s="463"/>
      <c r="AT47" s="463"/>
      <c r="AU47" s="463"/>
      <c r="AV47" s="463"/>
    </row>
    <row r="48" spans="1:48" s="472" customFormat="1" ht="12.75">
      <c r="A48" s="423"/>
      <c r="B48" s="423"/>
      <c r="C48" s="506" t="str">
        <f t="shared" si="1"/>
        <v>#1</v>
      </c>
      <c r="D48" s="440"/>
      <c r="E48" s="535"/>
      <c r="F48" s="675">
        <f aca="true" t="shared" si="2" ref="F48:F67">IF(ISBLANK(F18),"",F18)</f>
        <v>34040</v>
      </c>
      <c r="G48" s="676">
        <f aca="true" t="shared" si="3" ref="G48:G67">G18</f>
        <v>0</v>
      </c>
      <c r="H48" s="507">
        <v>96.12</v>
      </c>
      <c r="I48" s="508">
        <v>92.41</v>
      </c>
      <c r="J48" s="508">
        <v>85.71</v>
      </c>
      <c r="K48" s="508">
        <v>84.17</v>
      </c>
      <c r="L48" s="508"/>
      <c r="M48" s="508">
        <v>82.78</v>
      </c>
      <c r="N48" s="508"/>
      <c r="O48" s="508"/>
      <c r="P48" s="508"/>
      <c r="Q48" s="508"/>
      <c r="R48" s="508"/>
      <c r="S48" s="508"/>
      <c r="T48" s="508"/>
      <c r="U48" s="508"/>
      <c r="V48" s="508"/>
      <c r="W48" s="616"/>
      <c r="X48" s="475"/>
      <c r="Y48" s="463"/>
      <c r="Z48" s="464"/>
      <c r="AA48" s="464"/>
      <c r="AB48" s="464"/>
      <c r="AC48" s="464"/>
      <c r="AD48" s="464"/>
      <c r="AE48" s="463"/>
      <c r="AF48" s="463"/>
      <c r="AG48" s="463"/>
      <c r="AH48" s="463"/>
      <c r="AI48" s="463"/>
      <c r="AJ48" s="463"/>
      <c r="AK48" s="463"/>
      <c r="AL48" s="463"/>
      <c r="AM48" s="463"/>
      <c r="AN48" s="463"/>
      <c r="AO48" s="463"/>
      <c r="AP48" s="463"/>
      <c r="AQ48" s="463"/>
      <c r="AR48" s="463"/>
      <c r="AS48" s="463"/>
      <c r="AT48" s="463"/>
      <c r="AU48" s="463"/>
      <c r="AV48" s="463"/>
    </row>
    <row r="49" spans="1:48" s="472" customFormat="1" ht="12.75">
      <c r="A49" s="423"/>
      <c r="B49" s="423"/>
      <c r="C49" s="516" t="str">
        <f t="shared" si="1"/>
        <v>#2</v>
      </c>
      <c r="D49" s="442"/>
      <c r="E49" s="536"/>
      <c r="F49" s="644">
        <f t="shared" si="2"/>
        <v>34100</v>
      </c>
      <c r="G49" s="677">
        <f t="shared" si="3"/>
        <v>60</v>
      </c>
      <c r="H49" s="479">
        <v>94.88</v>
      </c>
      <c r="I49" s="480">
        <v>91.34</v>
      </c>
      <c r="J49" s="480">
        <v>84.88</v>
      </c>
      <c r="K49" s="480">
        <v>83.3</v>
      </c>
      <c r="L49" s="480"/>
      <c r="M49" s="480">
        <v>81.95</v>
      </c>
      <c r="N49" s="480"/>
      <c r="O49" s="480"/>
      <c r="P49" s="480"/>
      <c r="Q49" s="480"/>
      <c r="R49" s="480"/>
      <c r="S49" s="480"/>
      <c r="T49" s="480"/>
      <c r="U49" s="480"/>
      <c r="V49" s="480"/>
      <c r="W49" s="617"/>
      <c r="X49" s="475"/>
      <c r="Y49" s="463"/>
      <c r="Z49" s="464"/>
      <c r="AA49" s="464"/>
      <c r="AB49" s="464"/>
      <c r="AC49" s="464"/>
      <c r="AD49" s="464"/>
      <c r="AE49" s="463"/>
      <c r="AF49" s="463"/>
      <c r="AG49" s="463"/>
      <c r="AH49" s="463"/>
      <c r="AI49" s="463"/>
      <c r="AJ49" s="463"/>
      <c r="AK49" s="463"/>
      <c r="AL49" s="463"/>
      <c r="AM49" s="463"/>
      <c r="AN49" s="463"/>
      <c r="AO49" s="463"/>
      <c r="AP49" s="463"/>
      <c r="AQ49" s="463"/>
      <c r="AR49" s="463"/>
      <c r="AS49" s="463"/>
      <c r="AT49" s="463"/>
      <c r="AU49" s="463"/>
      <c r="AV49" s="463"/>
    </row>
    <row r="50" spans="1:48" s="472" customFormat="1" ht="12.75">
      <c r="A50" s="423"/>
      <c r="B50" s="423"/>
      <c r="C50" s="516" t="str">
        <f t="shared" si="1"/>
        <v>#3</v>
      </c>
      <c r="D50" s="442"/>
      <c r="E50" s="536"/>
      <c r="F50" s="644">
        <f t="shared" si="2"/>
        <v>34229</v>
      </c>
      <c r="G50" s="677">
        <f t="shared" si="3"/>
        <v>189</v>
      </c>
      <c r="H50" s="479">
        <v>95.79</v>
      </c>
      <c r="I50" s="480">
        <v>92.2</v>
      </c>
      <c r="J50" s="480">
        <v>85.24</v>
      </c>
      <c r="K50" s="480">
        <v>83.65</v>
      </c>
      <c r="L50" s="480"/>
      <c r="M50" s="480">
        <v>82.41</v>
      </c>
      <c r="N50" s="480"/>
      <c r="O50" s="480"/>
      <c r="P50" s="480"/>
      <c r="Q50" s="480"/>
      <c r="R50" s="480"/>
      <c r="S50" s="480"/>
      <c r="T50" s="480"/>
      <c r="U50" s="480"/>
      <c r="V50" s="480"/>
      <c r="W50" s="617"/>
      <c r="X50" s="475"/>
      <c r="Y50" s="463"/>
      <c r="Z50" s="464"/>
      <c r="AA50" s="464"/>
      <c r="AB50" s="464"/>
      <c r="AC50" s="464"/>
      <c r="AD50" s="464"/>
      <c r="AE50" s="463"/>
      <c r="AF50" s="463"/>
      <c r="AG50" s="463"/>
      <c r="AH50" s="463"/>
      <c r="AI50" s="463"/>
      <c r="AJ50" s="463"/>
      <c r="AK50" s="463"/>
      <c r="AL50" s="463"/>
      <c r="AM50" s="463"/>
      <c r="AN50" s="463"/>
      <c r="AO50" s="463"/>
      <c r="AP50" s="463"/>
      <c r="AQ50" s="463"/>
      <c r="AR50" s="463"/>
      <c r="AS50" s="463"/>
      <c r="AT50" s="463"/>
      <c r="AU50" s="463"/>
      <c r="AV50" s="463"/>
    </row>
    <row r="51" spans="1:48" s="472" customFormat="1" ht="12.75">
      <c r="A51" s="423"/>
      <c r="B51" s="423"/>
      <c r="C51" s="516" t="str">
        <f t="shared" si="1"/>
        <v>#4</v>
      </c>
      <c r="D51" s="442"/>
      <c r="E51" s="536"/>
      <c r="F51" s="644">
        <f t="shared" si="2"/>
        <v>34600</v>
      </c>
      <c r="G51" s="677">
        <f t="shared" si="3"/>
        <v>560</v>
      </c>
      <c r="H51" s="479">
        <v>96.02</v>
      </c>
      <c r="I51" s="480">
        <v>92.22</v>
      </c>
      <c r="J51" s="480">
        <v>85.45</v>
      </c>
      <c r="K51" s="480"/>
      <c r="L51" s="480"/>
      <c r="M51" s="480">
        <v>82.49</v>
      </c>
      <c r="N51" s="480"/>
      <c r="O51" s="480"/>
      <c r="P51" s="480"/>
      <c r="Q51" s="480"/>
      <c r="R51" s="480"/>
      <c r="S51" s="480"/>
      <c r="T51" s="480"/>
      <c r="U51" s="480"/>
      <c r="V51" s="480"/>
      <c r="W51" s="617"/>
      <c r="X51" s="475"/>
      <c r="Y51" s="463"/>
      <c r="Z51" s="464"/>
      <c r="AA51" s="464"/>
      <c r="AB51" s="464"/>
      <c r="AC51" s="464"/>
      <c r="AD51" s="464"/>
      <c r="AE51" s="463"/>
      <c r="AF51" s="463"/>
      <c r="AG51" s="463"/>
      <c r="AH51" s="463"/>
      <c r="AI51" s="463"/>
      <c r="AJ51" s="463"/>
      <c r="AK51" s="463"/>
      <c r="AL51" s="463"/>
      <c r="AM51" s="463"/>
      <c r="AN51" s="463"/>
      <c r="AO51" s="463"/>
      <c r="AP51" s="463"/>
      <c r="AQ51" s="463"/>
      <c r="AR51" s="463"/>
      <c r="AS51" s="463"/>
      <c r="AT51" s="463"/>
      <c r="AU51" s="463"/>
      <c r="AV51" s="463"/>
    </row>
    <row r="52" spans="1:48" s="472" customFormat="1" ht="12.75">
      <c r="A52" s="423"/>
      <c r="B52" s="423"/>
      <c r="C52" s="516" t="str">
        <f t="shared" si="1"/>
        <v>#5</v>
      </c>
      <c r="D52" s="442"/>
      <c r="E52" s="536"/>
      <c r="F52" s="644">
        <f t="shared" si="2"/>
        <v>35202</v>
      </c>
      <c r="G52" s="677">
        <f t="shared" si="3"/>
        <v>1162</v>
      </c>
      <c r="H52" s="479">
        <v>95.92</v>
      </c>
      <c r="I52" s="480">
        <v>92.23</v>
      </c>
      <c r="J52" s="480">
        <v>85.58</v>
      </c>
      <c r="K52" s="480"/>
      <c r="L52" s="480"/>
      <c r="M52" s="480">
        <v>82.49</v>
      </c>
      <c r="N52" s="480"/>
      <c r="O52" s="480"/>
      <c r="P52" s="480"/>
      <c r="Q52" s="480"/>
      <c r="R52" s="480"/>
      <c r="S52" s="480"/>
      <c r="T52" s="480"/>
      <c r="U52" s="480"/>
      <c r="V52" s="480"/>
      <c r="W52" s="617"/>
      <c r="X52" s="475"/>
      <c r="Y52" s="463"/>
      <c r="Z52" s="464"/>
      <c r="AA52" s="464"/>
      <c r="AB52" s="464"/>
      <c r="AC52" s="464"/>
      <c r="AD52" s="464"/>
      <c r="AE52" s="463"/>
      <c r="AF52" s="463"/>
      <c r="AG52" s="463"/>
      <c r="AH52" s="463"/>
      <c r="AI52" s="463"/>
      <c r="AJ52" s="463"/>
      <c r="AK52" s="463"/>
      <c r="AL52" s="463"/>
      <c r="AM52" s="463"/>
      <c r="AN52" s="463"/>
      <c r="AO52" s="463"/>
      <c r="AP52" s="463"/>
      <c r="AQ52" s="463"/>
      <c r="AR52" s="463"/>
      <c r="AS52" s="463"/>
      <c r="AT52" s="463"/>
      <c r="AU52" s="463"/>
      <c r="AV52" s="463"/>
    </row>
    <row r="53" spans="1:48" s="472" customFormat="1" ht="12.75">
      <c r="A53" s="423"/>
      <c r="B53" s="423"/>
      <c r="C53" s="516" t="str">
        <f t="shared" si="1"/>
        <v>#6</v>
      </c>
      <c r="D53" s="442"/>
      <c r="E53" s="536"/>
      <c r="F53" s="644">
        <f t="shared" si="2"/>
        <v>35287</v>
      </c>
      <c r="G53" s="677">
        <f t="shared" si="3"/>
        <v>1247</v>
      </c>
      <c r="H53" s="479">
        <v>95.13</v>
      </c>
      <c r="I53" s="480">
        <v>91.39</v>
      </c>
      <c r="J53" s="480">
        <v>85.04</v>
      </c>
      <c r="K53" s="480"/>
      <c r="L53" s="480"/>
      <c r="M53" s="480">
        <v>82.05</v>
      </c>
      <c r="N53" s="480"/>
      <c r="O53" s="480"/>
      <c r="P53" s="480"/>
      <c r="Q53" s="480"/>
      <c r="R53" s="480"/>
      <c r="S53" s="480"/>
      <c r="T53" s="480"/>
      <c r="U53" s="480"/>
      <c r="V53" s="480"/>
      <c r="W53" s="617"/>
      <c r="X53" s="475"/>
      <c r="Y53" s="463"/>
      <c r="Z53" s="464"/>
      <c r="AA53" s="464"/>
      <c r="AB53" s="464"/>
      <c r="AC53" s="464"/>
      <c r="AD53" s="464"/>
      <c r="AE53" s="463"/>
      <c r="AF53" s="463"/>
      <c r="AG53" s="463"/>
      <c r="AH53" s="463"/>
      <c r="AI53" s="463"/>
      <c r="AJ53" s="463"/>
      <c r="AK53" s="463"/>
      <c r="AL53" s="463"/>
      <c r="AM53" s="463"/>
      <c r="AN53" s="463"/>
      <c r="AO53" s="463"/>
      <c r="AP53" s="463"/>
      <c r="AQ53" s="463"/>
      <c r="AR53" s="463"/>
      <c r="AS53" s="463"/>
      <c r="AT53" s="463"/>
      <c r="AU53" s="463"/>
      <c r="AV53" s="463"/>
    </row>
    <row r="54" spans="1:48" s="472" customFormat="1" ht="12.75">
      <c r="A54" s="423"/>
      <c r="B54" s="423"/>
      <c r="C54" s="516" t="str">
        <f t="shared" si="1"/>
        <v>#7</v>
      </c>
      <c r="D54" s="442"/>
      <c r="E54" s="536"/>
      <c r="F54" s="644">
        <f t="shared" si="2"/>
        <v>35376</v>
      </c>
      <c r="G54" s="677">
        <f t="shared" si="3"/>
        <v>1336</v>
      </c>
      <c r="H54" s="479">
        <v>95.88</v>
      </c>
      <c r="I54" s="480">
        <v>92.25</v>
      </c>
      <c r="J54" s="480">
        <v>85.25</v>
      </c>
      <c r="K54" s="480"/>
      <c r="L54" s="480"/>
      <c r="M54" s="480">
        <v>81.6</v>
      </c>
      <c r="N54" s="480"/>
      <c r="O54" s="480"/>
      <c r="P54" s="480"/>
      <c r="Q54" s="480"/>
      <c r="R54" s="480"/>
      <c r="S54" s="480"/>
      <c r="T54" s="480"/>
      <c r="U54" s="480"/>
      <c r="V54" s="480"/>
      <c r="W54" s="617"/>
      <c r="X54" s="475"/>
      <c r="Y54" s="463"/>
      <c r="Z54" s="464"/>
      <c r="AA54" s="464"/>
      <c r="AB54" s="464"/>
      <c r="AC54" s="464"/>
      <c r="AD54" s="464"/>
      <c r="AE54" s="463"/>
      <c r="AF54" s="463"/>
      <c r="AG54" s="463"/>
      <c r="AH54" s="463"/>
      <c r="AI54" s="463"/>
      <c r="AJ54" s="463"/>
      <c r="AK54" s="463"/>
      <c r="AL54" s="463"/>
      <c r="AM54" s="463"/>
      <c r="AN54" s="463"/>
      <c r="AO54" s="463"/>
      <c r="AP54" s="463"/>
      <c r="AQ54" s="463"/>
      <c r="AR54" s="463"/>
      <c r="AS54" s="463"/>
      <c r="AT54" s="463"/>
      <c r="AU54" s="463"/>
      <c r="AV54" s="463"/>
    </row>
    <row r="55" spans="1:48" s="472" customFormat="1" ht="12.75">
      <c r="A55" s="423"/>
      <c r="B55" s="423"/>
      <c r="C55" s="516" t="str">
        <f t="shared" si="1"/>
        <v>#8</v>
      </c>
      <c r="D55" s="442"/>
      <c r="E55" s="536"/>
      <c r="F55" s="644">
        <f t="shared" si="2"/>
        <v>35772</v>
      </c>
      <c r="G55" s="677">
        <f t="shared" si="3"/>
        <v>1732</v>
      </c>
      <c r="H55" s="479">
        <v>95.73</v>
      </c>
      <c r="I55" s="480">
        <v>91.92</v>
      </c>
      <c r="J55" s="480">
        <v>85.18</v>
      </c>
      <c r="K55" s="480"/>
      <c r="L55" s="480"/>
      <c r="M55" s="480">
        <v>82.03</v>
      </c>
      <c r="N55" s="480"/>
      <c r="O55" s="480"/>
      <c r="P55" s="480"/>
      <c r="Q55" s="480"/>
      <c r="R55" s="480"/>
      <c r="S55" s="480"/>
      <c r="T55" s="480"/>
      <c r="U55" s="480"/>
      <c r="V55" s="480"/>
      <c r="W55" s="617"/>
      <c r="X55" s="475"/>
      <c r="Y55" s="463"/>
      <c r="Z55" s="464"/>
      <c r="AA55" s="464"/>
      <c r="AB55" s="464"/>
      <c r="AC55" s="464"/>
      <c r="AD55" s="464"/>
      <c r="AE55" s="463"/>
      <c r="AF55" s="463"/>
      <c r="AG55" s="463"/>
      <c r="AH55" s="463"/>
      <c r="AI55" s="463"/>
      <c r="AJ55" s="463"/>
      <c r="AK55" s="463"/>
      <c r="AL55" s="463"/>
      <c r="AM55" s="463"/>
      <c r="AN55" s="463"/>
      <c r="AO55" s="463"/>
      <c r="AP55" s="463"/>
      <c r="AQ55" s="463"/>
      <c r="AR55" s="463"/>
      <c r="AS55" s="463"/>
      <c r="AT55" s="463"/>
      <c r="AU55" s="463"/>
      <c r="AV55" s="463"/>
    </row>
    <row r="56" spans="1:48" s="472" customFormat="1" ht="12.75">
      <c r="A56" s="423"/>
      <c r="B56" s="423"/>
      <c r="C56" s="516" t="str">
        <f t="shared" si="1"/>
        <v>#9</v>
      </c>
      <c r="D56" s="442"/>
      <c r="E56" s="536"/>
      <c r="F56" s="644">
        <f t="shared" si="2"/>
        <v>35881</v>
      </c>
      <c r="G56" s="677">
        <f t="shared" si="3"/>
        <v>1841</v>
      </c>
      <c r="H56" s="479">
        <v>94.51</v>
      </c>
      <c r="I56" s="480">
        <v>91.09</v>
      </c>
      <c r="J56" s="480">
        <v>84.57</v>
      </c>
      <c r="K56" s="480"/>
      <c r="L56" s="480"/>
      <c r="M56" s="480">
        <v>82.54</v>
      </c>
      <c r="N56" s="480"/>
      <c r="O56" s="480"/>
      <c r="P56" s="480"/>
      <c r="Q56" s="480"/>
      <c r="R56" s="480"/>
      <c r="S56" s="480"/>
      <c r="T56" s="480"/>
      <c r="U56" s="480"/>
      <c r="V56" s="480"/>
      <c r="W56" s="617"/>
      <c r="X56" s="475"/>
      <c r="Y56" s="463"/>
      <c r="Z56" s="464"/>
      <c r="AA56" s="464"/>
      <c r="AB56" s="464"/>
      <c r="AC56" s="464"/>
      <c r="AD56" s="464"/>
      <c r="AE56" s="463"/>
      <c r="AF56" s="463"/>
      <c r="AG56" s="463"/>
      <c r="AH56" s="463"/>
      <c r="AI56" s="463"/>
      <c r="AJ56" s="463"/>
      <c r="AK56" s="463"/>
      <c r="AL56" s="463"/>
      <c r="AM56" s="463"/>
      <c r="AN56" s="463"/>
      <c r="AO56" s="463"/>
      <c r="AP56" s="463"/>
      <c r="AQ56" s="463"/>
      <c r="AR56" s="463"/>
      <c r="AS56" s="463"/>
      <c r="AT56" s="463"/>
      <c r="AU56" s="463"/>
      <c r="AV56" s="463"/>
    </row>
    <row r="57" spans="1:48" s="472" customFormat="1" ht="12.75">
      <c r="A57" s="423"/>
      <c r="B57" s="423"/>
      <c r="C57" s="516" t="str">
        <f t="shared" si="1"/>
        <v>#10</v>
      </c>
      <c r="D57" s="442"/>
      <c r="E57" s="536"/>
      <c r="F57" s="644">
        <f t="shared" si="2"/>
        <v>35999</v>
      </c>
      <c r="G57" s="677">
        <f t="shared" si="3"/>
        <v>1959</v>
      </c>
      <c r="H57" s="479">
        <v>94.99</v>
      </c>
      <c r="I57" s="480">
        <v>91.85</v>
      </c>
      <c r="J57" s="480">
        <v>84.82</v>
      </c>
      <c r="K57" s="480"/>
      <c r="L57" s="480"/>
      <c r="M57" s="480">
        <v>82.25</v>
      </c>
      <c r="N57" s="480"/>
      <c r="O57" s="480"/>
      <c r="P57" s="480"/>
      <c r="Q57" s="480"/>
      <c r="R57" s="480"/>
      <c r="S57" s="480"/>
      <c r="T57" s="480"/>
      <c r="U57" s="480"/>
      <c r="V57" s="480"/>
      <c r="W57" s="617"/>
      <c r="X57" s="475"/>
      <c r="Y57" s="463"/>
      <c r="Z57" s="464"/>
      <c r="AA57" s="464"/>
      <c r="AB57" s="464"/>
      <c r="AC57" s="464"/>
      <c r="AD57" s="464"/>
      <c r="AE57" s="463"/>
      <c r="AF57" s="463"/>
      <c r="AG57" s="463"/>
      <c r="AH57" s="463"/>
      <c r="AI57" s="463"/>
      <c r="AJ57" s="463"/>
      <c r="AK57" s="463"/>
      <c r="AL57" s="463"/>
      <c r="AM57" s="463"/>
      <c r="AN57" s="463"/>
      <c r="AO57" s="463"/>
      <c r="AP57" s="463"/>
      <c r="AQ57" s="463"/>
      <c r="AR57" s="463"/>
      <c r="AS57" s="463"/>
      <c r="AT57" s="463"/>
      <c r="AU57" s="463"/>
      <c r="AV57" s="463"/>
    </row>
    <row r="58" spans="1:48" s="472" customFormat="1" ht="12.75">
      <c r="A58" s="423"/>
      <c r="B58" s="423"/>
      <c r="C58" s="516" t="str">
        <f t="shared" si="1"/>
        <v>#11</v>
      </c>
      <c r="D58" s="442"/>
      <c r="E58" s="536"/>
      <c r="F58" s="644">
        <f t="shared" si="2"/>
        <v>36056</v>
      </c>
      <c r="G58" s="677">
        <f t="shared" si="3"/>
        <v>2016</v>
      </c>
      <c r="H58" s="479">
        <v>95.99</v>
      </c>
      <c r="I58" s="480">
        <v>92.42</v>
      </c>
      <c r="J58" s="480">
        <v>85.43</v>
      </c>
      <c r="K58" s="480"/>
      <c r="L58" s="480"/>
      <c r="M58" s="480">
        <v>81.85</v>
      </c>
      <c r="N58" s="480"/>
      <c r="O58" s="480"/>
      <c r="P58" s="480"/>
      <c r="Q58" s="480"/>
      <c r="R58" s="480"/>
      <c r="S58" s="480"/>
      <c r="T58" s="480"/>
      <c r="U58" s="480"/>
      <c r="V58" s="480"/>
      <c r="W58" s="617"/>
      <c r="X58" s="475"/>
      <c r="Y58" s="463"/>
      <c r="Z58" s="464"/>
      <c r="AB58" s="464"/>
      <c r="AC58" s="464"/>
      <c r="AD58" s="464"/>
      <c r="AE58" s="463"/>
      <c r="AF58" s="463"/>
      <c r="AG58" s="463"/>
      <c r="AH58" s="463"/>
      <c r="AI58" s="463"/>
      <c r="AJ58" s="463"/>
      <c r="AK58" s="463"/>
      <c r="AL58" s="463"/>
      <c r="AM58" s="463"/>
      <c r="AN58" s="463"/>
      <c r="AO58" s="463"/>
      <c r="AP58" s="463"/>
      <c r="AQ58" s="463"/>
      <c r="AR58" s="463"/>
      <c r="AS58" s="463"/>
      <c r="AT58" s="463"/>
      <c r="AU58" s="463"/>
      <c r="AV58" s="463"/>
    </row>
    <row r="59" spans="1:48" s="472" customFormat="1" ht="12.75">
      <c r="A59" s="423"/>
      <c r="B59" s="423"/>
      <c r="C59" s="516" t="str">
        <f t="shared" si="1"/>
        <v>#12</v>
      </c>
      <c r="D59" s="442"/>
      <c r="E59" s="536"/>
      <c r="F59" s="644">
        <f t="shared" si="2"/>
        <v>36145</v>
      </c>
      <c r="G59" s="677">
        <f t="shared" si="3"/>
        <v>2105</v>
      </c>
      <c r="H59" s="479">
        <v>95.8</v>
      </c>
      <c r="I59" s="480">
        <v>92.02</v>
      </c>
      <c r="J59" s="480">
        <v>85.32</v>
      </c>
      <c r="K59" s="480"/>
      <c r="L59" s="480"/>
      <c r="M59" s="480">
        <v>82.11</v>
      </c>
      <c r="N59" s="480"/>
      <c r="O59" s="480"/>
      <c r="P59" s="480"/>
      <c r="Q59" s="480"/>
      <c r="R59" s="480"/>
      <c r="S59" s="480"/>
      <c r="T59" s="480"/>
      <c r="U59" s="480"/>
      <c r="V59" s="480"/>
      <c r="W59" s="617"/>
      <c r="X59" s="475"/>
      <c r="Y59" s="463"/>
      <c r="Z59" s="464"/>
      <c r="AA59" s="464"/>
      <c r="AB59" s="464"/>
      <c r="AC59" s="464"/>
      <c r="AD59" s="464"/>
      <c r="AE59" s="463"/>
      <c r="AF59" s="463"/>
      <c r="AG59" s="463"/>
      <c r="AH59" s="463"/>
      <c r="AI59" s="463"/>
      <c r="AJ59" s="463"/>
      <c r="AK59" s="463"/>
      <c r="AL59" s="463"/>
      <c r="AM59" s="463"/>
      <c r="AN59" s="463"/>
      <c r="AO59" s="463"/>
      <c r="AP59" s="463"/>
      <c r="AQ59" s="463"/>
      <c r="AR59" s="463"/>
      <c r="AS59" s="463"/>
      <c r="AT59" s="463"/>
      <c r="AU59" s="463"/>
      <c r="AV59" s="463"/>
    </row>
    <row r="60" spans="1:48" s="472" customFormat="1" ht="12.75">
      <c r="A60" s="423"/>
      <c r="B60" s="423"/>
      <c r="C60" s="516" t="str">
        <f t="shared" si="1"/>
        <v>#13</v>
      </c>
      <c r="D60" s="442"/>
      <c r="E60" s="536"/>
      <c r="F60" s="644">
        <f t="shared" si="2"/>
        <v>36220</v>
      </c>
      <c r="G60" s="677">
        <f t="shared" si="3"/>
        <v>2180</v>
      </c>
      <c r="H60" s="479">
        <v>95.7</v>
      </c>
      <c r="I60" s="480">
        <v>92.8</v>
      </c>
      <c r="J60" s="480">
        <v>85.66</v>
      </c>
      <c r="K60" s="480"/>
      <c r="L60" s="480"/>
      <c r="M60" s="480">
        <v>82.89</v>
      </c>
      <c r="N60" s="480"/>
      <c r="O60" s="480"/>
      <c r="P60" s="480"/>
      <c r="Q60" s="480"/>
      <c r="R60" s="480"/>
      <c r="S60" s="480"/>
      <c r="T60" s="480"/>
      <c r="U60" s="480"/>
      <c r="V60" s="480"/>
      <c r="W60" s="617"/>
      <c r="X60" s="475"/>
      <c r="Y60" s="463"/>
      <c r="Z60" s="464"/>
      <c r="AA60" s="464"/>
      <c r="AB60" s="464"/>
      <c r="AC60" s="464"/>
      <c r="AD60" s="464"/>
      <c r="AE60" s="463"/>
      <c r="AF60" s="463"/>
      <c r="AG60" s="463"/>
      <c r="AH60" s="463"/>
      <c r="AI60" s="463"/>
      <c r="AJ60" s="463"/>
      <c r="AK60" s="463"/>
      <c r="AL60" s="463"/>
      <c r="AM60" s="463"/>
      <c r="AN60" s="463"/>
      <c r="AO60" s="463"/>
      <c r="AP60" s="463"/>
      <c r="AQ60" s="463"/>
      <c r="AR60" s="463"/>
      <c r="AS60" s="463"/>
      <c r="AT60" s="463"/>
      <c r="AU60" s="463"/>
      <c r="AV60" s="463"/>
    </row>
    <row r="61" spans="1:48" s="472" customFormat="1" ht="12.75">
      <c r="A61" s="423"/>
      <c r="B61" s="423"/>
      <c r="C61" s="516" t="str">
        <f t="shared" si="1"/>
        <v>#14</v>
      </c>
      <c r="D61" s="442"/>
      <c r="E61" s="536"/>
      <c r="F61" s="644">
        <f t="shared" si="2"/>
        <v>36332</v>
      </c>
      <c r="G61" s="677">
        <f t="shared" si="3"/>
        <v>2292</v>
      </c>
      <c r="H61" s="479"/>
      <c r="I61" s="480"/>
      <c r="J61" s="480"/>
      <c r="K61" s="480"/>
      <c r="L61" s="480"/>
      <c r="M61" s="480">
        <v>89</v>
      </c>
      <c r="N61" s="480"/>
      <c r="O61" s="480"/>
      <c r="P61" s="480"/>
      <c r="Q61" s="480"/>
      <c r="R61" s="480"/>
      <c r="S61" s="480"/>
      <c r="T61" s="480"/>
      <c r="U61" s="480"/>
      <c r="V61" s="480"/>
      <c r="W61" s="617"/>
      <c r="X61" s="475"/>
      <c r="Y61" s="463"/>
      <c r="Z61" s="464"/>
      <c r="AA61" s="464"/>
      <c r="AB61" s="464"/>
      <c r="AC61" s="464"/>
      <c r="AD61" s="464"/>
      <c r="AE61" s="463"/>
      <c r="AF61" s="463"/>
      <c r="AG61" s="463"/>
      <c r="AH61" s="463"/>
      <c r="AI61" s="463"/>
      <c r="AJ61" s="463"/>
      <c r="AK61" s="463"/>
      <c r="AL61" s="463"/>
      <c r="AM61" s="463"/>
      <c r="AN61" s="463"/>
      <c r="AO61" s="463"/>
      <c r="AP61" s="463"/>
      <c r="AQ61" s="463"/>
      <c r="AR61" s="463"/>
      <c r="AS61" s="463"/>
      <c r="AT61" s="463"/>
      <c r="AU61" s="463"/>
      <c r="AV61" s="463"/>
    </row>
    <row r="62" spans="1:30" s="472" customFormat="1" ht="12.75">
      <c r="A62" s="423"/>
      <c r="B62" s="423"/>
      <c r="C62" s="516" t="str">
        <f t="shared" si="1"/>
        <v>#15</v>
      </c>
      <c r="D62" s="442"/>
      <c r="E62" s="536"/>
      <c r="F62" s="644">
        <f t="shared" si="2"/>
        <v>36410</v>
      </c>
      <c r="G62" s="677">
        <f t="shared" si="3"/>
        <v>2370</v>
      </c>
      <c r="H62" s="479"/>
      <c r="I62" s="480"/>
      <c r="J62" s="480"/>
      <c r="K62" s="480"/>
      <c r="L62" s="480"/>
      <c r="M62" s="480">
        <v>89</v>
      </c>
      <c r="N62" s="480"/>
      <c r="O62" s="480"/>
      <c r="P62" s="480"/>
      <c r="Q62" s="480"/>
      <c r="R62" s="480"/>
      <c r="S62" s="480"/>
      <c r="T62" s="480"/>
      <c r="U62" s="480"/>
      <c r="V62" s="480"/>
      <c r="W62" s="617"/>
      <c r="X62" s="475"/>
      <c r="Y62" s="475"/>
      <c r="Z62" s="475"/>
      <c r="AA62" s="475"/>
      <c r="AB62" s="475"/>
      <c r="AC62" s="475"/>
      <c r="AD62" s="475"/>
    </row>
    <row r="63" spans="1:30" s="472" customFormat="1" ht="12.75">
      <c r="A63" s="423"/>
      <c r="B63" s="423"/>
      <c r="C63" s="516" t="str">
        <f t="shared" si="1"/>
        <v>#16</v>
      </c>
      <c r="D63" s="1077"/>
      <c r="E63" s="1078"/>
      <c r="F63" s="644">
        <f t="shared" si="2"/>
        <v>36524</v>
      </c>
      <c r="G63" s="677">
        <f t="shared" si="3"/>
        <v>2484</v>
      </c>
      <c r="H63" s="1074"/>
      <c r="I63" s="1075"/>
      <c r="J63" s="1075"/>
      <c r="K63" s="1075"/>
      <c r="L63" s="1075"/>
      <c r="M63" s="1075">
        <v>89</v>
      </c>
      <c r="N63" s="1075"/>
      <c r="O63" s="1075"/>
      <c r="P63" s="1075"/>
      <c r="Q63" s="1075"/>
      <c r="R63" s="1075"/>
      <c r="S63" s="1075"/>
      <c r="T63" s="1075"/>
      <c r="U63" s="1075"/>
      <c r="V63" s="1075"/>
      <c r="W63" s="1079"/>
      <c r="X63" s="475"/>
      <c r="Y63" s="475"/>
      <c r="Z63" s="475"/>
      <c r="AA63" s="475"/>
      <c r="AB63" s="475"/>
      <c r="AC63" s="475"/>
      <c r="AD63" s="475"/>
    </row>
    <row r="64" spans="1:30" s="472" customFormat="1" ht="12.75">
      <c r="A64" s="423"/>
      <c r="B64" s="423"/>
      <c r="C64" s="516" t="str">
        <f t="shared" si="1"/>
        <v>#17</v>
      </c>
      <c r="D64" s="1077"/>
      <c r="E64" s="1078"/>
      <c r="F64" s="644">
        <f t="shared" si="2"/>
        <v>36605</v>
      </c>
      <c r="G64" s="677">
        <f t="shared" si="3"/>
        <v>2565</v>
      </c>
      <c r="H64" s="1074"/>
      <c r="I64" s="1075"/>
      <c r="J64" s="1075"/>
      <c r="K64" s="1075"/>
      <c r="L64" s="1075"/>
      <c r="M64" s="1075"/>
      <c r="N64" s="1075"/>
      <c r="O64" s="1075"/>
      <c r="P64" s="1075"/>
      <c r="Q64" s="1075"/>
      <c r="R64" s="1075"/>
      <c r="S64" s="1075"/>
      <c r="T64" s="1075"/>
      <c r="U64" s="1075"/>
      <c r="V64" s="1075"/>
      <c r="W64" s="1079"/>
      <c r="X64" s="475"/>
      <c r="Y64" s="475"/>
      <c r="Z64" s="475"/>
      <c r="AA64" s="475"/>
      <c r="AB64" s="475"/>
      <c r="AC64" s="475"/>
      <c r="AD64" s="475"/>
    </row>
    <row r="65" spans="1:30" s="472" customFormat="1" ht="12.75">
      <c r="A65" s="423"/>
      <c r="B65" s="423"/>
      <c r="C65" s="516" t="str">
        <f t="shared" si="1"/>
        <v>#18</v>
      </c>
      <c r="D65" s="1077"/>
      <c r="E65" s="1078"/>
      <c r="F65" s="644">
        <f t="shared" si="2"/>
        <v>36699</v>
      </c>
      <c r="G65" s="677">
        <f t="shared" si="3"/>
        <v>2659</v>
      </c>
      <c r="H65" s="1074"/>
      <c r="I65" s="1075"/>
      <c r="J65" s="1075"/>
      <c r="K65" s="1075"/>
      <c r="L65" s="1075"/>
      <c r="M65" s="1075">
        <v>89</v>
      </c>
      <c r="N65" s="1075"/>
      <c r="O65" s="1075"/>
      <c r="P65" s="1075"/>
      <c r="Q65" s="1075"/>
      <c r="R65" s="1075"/>
      <c r="S65" s="1075"/>
      <c r="T65" s="1075"/>
      <c r="U65" s="1075"/>
      <c r="V65" s="1075"/>
      <c r="W65" s="1079"/>
      <c r="X65" s="475"/>
      <c r="Y65" s="475"/>
      <c r="Z65" s="475"/>
      <c r="AA65" s="475"/>
      <c r="AB65" s="475"/>
      <c r="AC65" s="475"/>
      <c r="AD65" s="475"/>
    </row>
    <row r="66" spans="1:30" s="472" customFormat="1" ht="12.75">
      <c r="A66" s="423"/>
      <c r="B66" s="423"/>
      <c r="C66" s="516" t="str">
        <f t="shared" si="1"/>
        <v>#19</v>
      </c>
      <c r="D66" s="1077"/>
      <c r="E66" s="1078"/>
      <c r="F66" s="644">
        <f t="shared" si="2"/>
      </c>
      <c r="G66" s="677">
        <f t="shared" si="3"/>
      </c>
      <c r="H66" s="1074"/>
      <c r="I66" s="1075"/>
      <c r="J66" s="1075"/>
      <c r="K66" s="1075"/>
      <c r="L66" s="1075"/>
      <c r="M66" s="1075"/>
      <c r="N66" s="1075"/>
      <c r="O66" s="1075"/>
      <c r="P66" s="1075"/>
      <c r="Q66" s="1075"/>
      <c r="R66" s="1075"/>
      <c r="S66" s="1075"/>
      <c r="T66" s="1075"/>
      <c r="U66" s="1075"/>
      <c r="V66" s="1075"/>
      <c r="W66" s="1079"/>
      <c r="X66" s="475"/>
      <c r="Y66" s="475"/>
      <c r="Z66" s="475"/>
      <c r="AA66" s="475"/>
      <c r="AB66" s="475"/>
      <c r="AC66" s="475"/>
      <c r="AD66" s="475"/>
    </row>
    <row r="67" spans="1:30" s="472" customFormat="1" ht="13.5" thickBot="1">
      <c r="A67" s="423"/>
      <c r="B67" s="423"/>
      <c r="C67" s="1082" t="str">
        <f t="shared" si="1"/>
        <v>#20</v>
      </c>
      <c r="D67" s="445"/>
      <c r="E67" s="537"/>
      <c r="F67" s="1081">
        <f t="shared" si="2"/>
      </c>
      <c r="G67" s="658">
        <f t="shared" si="3"/>
      </c>
      <c r="H67" s="520"/>
      <c r="I67" s="521"/>
      <c r="J67" s="521"/>
      <c r="K67" s="521"/>
      <c r="L67" s="521"/>
      <c r="M67" s="521"/>
      <c r="N67" s="521"/>
      <c r="O67" s="521"/>
      <c r="P67" s="521"/>
      <c r="Q67" s="521"/>
      <c r="R67" s="521"/>
      <c r="S67" s="521"/>
      <c r="T67" s="521"/>
      <c r="U67" s="521"/>
      <c r="V67" s="521"/>
      <c r="W67" s="522"/>
      <c r="X67" s="475"/>
      <c r="Y67" s="475"/>
      <c r="Z67" s="475"/>
      <c r="AA67" s="475"/>
      <c r="AB67" s="475"/>
      <c r="AC67" s="475"/>
      <c r="AD67" s="475"/>
    </row>
    <row r="68" spans="6:30" s="472" customFormat="1" ht="13.5" thickBot="1">
      <c r="F68" s="538"/>
      <c r="Z68" s="464" t="str">
        <f>""&amp;F5&amp;" @"&amp;AA74&amp;""</f>
        <v>MTBE @MW-2</v>
      </c>
      <c r="AA68" s="475"/>
      <c r="AB68" s="475"/>
      <c r="AC68" s="475"/>
      <c r="AD68" s="475"/>
    </row>
    <row r="69" spans="26:35" s="472" customFormat="1" ht="12.75">
      <c r="Z69" s="482" t="s">
        <v>284</v>
      </c>
      <c r="AA69" s="483"/>
      <c r="AB69" s="484"/>
      <c r="AC69" s="475"/>
      <c r="AD69" s="475"/>
      <c r="AI69" s="472" t="s">
        <v>315</v>
      </c>
    </row>
    <row r="70" spans="26:30" s="472" customFormat="1" ht="13.5" thickBot="1">
      <c r="Z70" s="490"/>
      <c r="AA70" s="475"/>
      <c r="AB70" s="491"/>
      <c r="AC70" s="475"/>
      <c r="AD70" s="475"/>
    </row>
    <row r="71" spans="26:47" s="472" customFormat="1" ht="12.75">
      <c r="Z71" s="496"/>
      <c r="AA71" s="497"/>
      <c r="AB71" s="498"/>
      <c r="AC71" s="475"/>
      <c r="AD71" s="475"/>
      <c r="AF71" s="475"/>
      <c r="AG71" s="475"/>
      <c r="AH71" s="475"/>
      <c r="AI71" s="475"/>
      <c r="AJ71" s="475"/>
      <c r="AK71" s="475"/>
      <c r="AL71" s="475"/>
      <c r="AM71" s="475"/>
      <c r="AN71" s="475"/>
      <c r="AO71" s="475"/>
      <c r="AP71" s="475"/>
      <c r="AQ71" s="475"/>
      <c r="AR71" s="475"/>
      <c r="AS71" s="475"/>
      <c r="AT71" s="475"/>
      <c r="AU71" s="475"/>
    </row>
    <row r="72" spans="25:52" ht="12.75">
      <c r="Y72" s="472"/>
      <c r="Z72" s="490"/>
      <c r="AA72" s="475"/>
      <c r="AB72" s="491"/>
      <c r="AC72" s="475"/>
      <c r="AD72" s="475"/>
      <c r="AE72" s="472"/>
      <c r="AF72" s="472"/>
      <c r="AG72" s="472"/>
      <c r="AH72" s="472"/>
      <c r="AI72" s="472"/>
      <c r="AJ72" s="472"/>
      <c r="AK72" s="472"/>
      <c r="AL72" s="472"/>
      <c r="AM72" s="472"/>
      <c r="AN72" s="472"/>
      <c r="AO72" s="472"/>
      <c r="AP72" s="472"/>
      <c r="AQ72" s="472"/>
      <c r="AR72" s="472"/>
      <c r="AS72" s="472"/>
      <c r="AT72" s="472"/>
      <c r="AU72" s="472"/>
      <c r="AV72" s="472"/>
      <c r="AW72" s="472"/>
      <c r="AX72" s="472"/>
      <c r="AY72" s="472"/>
      <c r="AZ72" s="472"/>
    </row>
    <row r="73" spans="25:52" ht="12.75">
      <c r="Y73" s="472"/>
      <c r="Z73" s="490"/>
      <c r="AA73" s="475" t="s">
        <v>152</v>
      </c>
      <c r="AB73" s="491"/>
      <c r="AC73" s="475"/>
      <c r="AD73" s="475"/>
      <c r="AE73" s="472"/>
      <c r="AF73" s="472"/>
      <c r="AG73" s="472"/>
      <c r="AH73" s="472"/>
      <c r="AI73" s="472"/>
      <c r="AJ73" s="472"/>
      <c r="AK73" s="472"/>
      <c r="AL73" s="472"/>
      <c r="AM73" s="472"/>
      <c r="AN73" s="472"/>
      <c r="AO73" s="472"/>
      <c r="AP73" s="472"/>
      <c r="AQ73" s="472"/>
      <c r="AR73" s="472"/>
      <c r="AS73" s="472"/>
      <c r="AT73" s="472"/>
      <c r="AU73" s="472"/>
      <c r="AV73" s="472"/>
      <c r="AW73" s="472"/>
      <c r="AX73" s="472"/>
      <c r="AY73" s="472"/>
      <c r="AZ73" s="472"/>
    </row>
    <row r="74" spans="25:52" ht="13.5" thickBot="1">
      <c r="Y74" s="472"/>
      <c r="Z74" s="490" t="s">
        <v>15</v>
      </c>
      <c r="AA74" s="475" t="str">
        <f>Graphical_prest!E11</f>
        <v>MW-2</v>
      </c>
      <c r="AB74" s="491" t="str">
        <f>Graphical_prest!E11</f>
        <v>MW-2</v>
      </c>
      <c r="AC74" s="475"/>
      <c r="AD74" s="475"/>
      <c r="AE74" s="472" t="s">
        <v>15</v>
      </c>
      <c r="AF74" s="505">
        <f>AtteuationRate_calc!H11</f>
        <v>0.009801819458738674</v>
      </c>
      <c r="AG74" s="505">
        <f>AtteuationRate_calc!I11</f>
        <v>45.73805476470349</v>
      </c>
      <c r="AH74" s="505">
        <f>AtteuationRate_calc!J11</f>
        <v>79.61019927931916</v>
      </c>
      <c r="AI74" s="505">
        <f>AtteuationRate_calc!K11</f>
        <v>91.57870901684619</v>
      </c>
      <c r="AJ74" s="505" t="e">
        <f>AtteuationRate_calc!L11</f>
        <v>#VALUE!</v>
      </c>
      <c r="AK74" s="505">
        <f>AtteuationRate_calc!M11</f>
        <v>123.74858963589776</v>
      </c>
      <c r="AL74" s="505" t="e">
        <f>AtteuationRate_calc!N11</f>
        <v>#VALUE!</v>
      </c>
      <c r="AM74" s="505" t="e">
        <f>AtteuationRate_calc!O11</f>
        <v>#VALUE!</v>
      </c>
      <c r="AN74" s="505">
        <f>AtteuationRate_calc!P11</f>
        <v>113.22039391981241</v>
      </c>
      <c r="AO74" s="505">
        <f>AtteuationRate_calc!Q11</f>
        <v>148.06225699370648</v>
      </c>
      <c r="AP74" s="505">
        <f>AtteuationRate_calc!R11</f>
        <v>182.37910090843647</v>
      </c>
      <c r="AQ74" s="505">
        <f>AtteuationRate_calc!S11</f>
        <v>182.37910090843647</v>
      </c>
      <c r="AR74" s="505" t="e">
        <f>AtteuationRate_calc!T11</f>
        <v>#VALUE!</v>
      </c>
      <c r="AS74" s="505" t="e">
        <f>AtteuationRate_calc!U11</f>
        <v>#VALUE!</v>
      </c>
      <c r="AT74" s="505" t="e">
        <f>AtteuationRate_calc!V11</f>
        <v>#VALUE!</v>
      </c>
      <c r="AU74" s="505" t="e">
        <f>AtteuationRate_calc!W11</f>
        <v>#VALUE!</v>
      </c>
      <c r="AV74" s="472"/>
      <c r="AW74" s="472"/>
      <c r="AX74" s="472"/>
      <c r="AY74" s="472"/>
      <c r="AZ74" s="472"/>
    </row>
    <row r="75" spans="25:52" ht="13.5" thickBot="1">
      <c r="Y75" s="472"/>
      <c r="Z75" s="510">
        <f>IF(ISBLANK(F18),#N/A,G18)</f>
        <v>0</v>
      </c>
      <c r="AA75" s="511">
        <f>IF(ISBLANK(HLOOKUP($AA$74,$H$9:$W$37,10,FALSE)),#N/A,HLOOKUP($AA$74,$H$9:$W$37,10,FALSE))</f>
        <v>4260</v>
      </c>
      <c r="AB75" s="512">
        <f>IF(ISBLANK(HLOOKUP($AB$74,$H$9:$W$67,40,FALSE)),#N/A,HLOOKUP($AB$74,$H$9:$W$67,40,FALSE))</f>
        <v>92.41</v>
      </c>
      <c r="AC75" s="475">
        <v>40</v>
      </c>
      <c r="AD75" s="513"/>
      <c r="AE75" s="514">
        <f>IF(ISBLANK(Graphical_prest!E39),"",Graphical_prest!E39)</f>
        <v>35796</v>
      </c>
      <c r="AF75" s="515">
        <f>IF(ISBLANK(VLOOKUP($AE$75,$F$18:$W$37,3)),#N/A,VLOOKUP($AE$75,$F$18:$W$37,3))</f>
        <v>3800</v>
      </c>
      <c r="AG75" s="515">
        <f>IF(ISBLANK(VLOOKUP($AE$75,$F$18:$W$37,4,TRUE)),#N/A,VLOOKUP($AE$75,$F$18:$W$37,4))</f>
        <v>456</v>
      </c>
      <c r="AH75" s="515">
        <f>IF(ISBLANK(VLOOKUP($AE$75,$F$18:$W$37,5)),#N/A,VLOOKUP($AE$75,$F$18:$W$37,5))</f>
        <v>23</v>
      </c>
      <c r="AI75" s="515">
        <f>IF(ISBLANK(VLOOKUP($AE$75,$F$18:$W$37,6)),#N/A,VLOOKUP($AE$75,$F$18:$W$37,6))</f>
        <v>560</v>
      </c>
      <c r="AJ75" s="515" t="e">
        <f>IF(ISBLANK(VLOOKUP($AE$75,$F$18:$W$37,7)),#N/A,VLOOKUP($AE$75,$F$18:$W$37,7))</f>
        <v>#N/A</v>
      </c>
      <c r="AK75" s="515">
        <f>IF(ISBLANK(VLOOKUP($AE$75,$F$18:$W$37,8)),#N/A,VLOOKUP($AE$75,$F$18:$W$37,8))</f>
        <v>500</v>
      </c>
      <c r="AL75" s="515">
        <f>IF(ISBLANK(VLOOKUP($AE$75,$F$18:$W$37,9)),#N/A,VLOOKUP($AE$75,$F$18:$W$37,9))</f>
        <v>339</v>
      </c>
      <c r="AM75" s="515" t="e">
        <f>IF(ISBLANK(VLOOKUP($AE$75,$F$18:$W$37,10)),#N/A,VLOOKUP($AE$75,$F$18:$W$37,10))</f>
        <v>#N/A</v>
      </c>
      <c r="AN75" s="515">
        <f>IF(ISBLANK(VLOOKUP($AE$75,$F$18:$W$37,11)),#N/A,VLOOKUP($AE$75,$F$18:$W$37,11))</f>
        <v>360</v>
      </c>
      <c r="AO75" s="515">
        <f>IF(ISBLANK(VLOOKUP($AE$75,$F$18:$W$37,12)),#N/A,VLOOKUP($AE$75,$F$18:$W$37,12))</f>
        <v>360</v>
      </c>
      <c r="AP75" s="515" t="e">
        <f>IF(ISBLANK(VLOOKUP($AE$75,$F$18:$W$37,13)),#N/A,VLOOKUP($AE$75,$F$18:$W$37,13))</f>
        <v>#N/A</v>
      </c>
      <c r="AQ75" s="515">
        <f>IF(ISBLANK(VLOOKUP($AE$75,$F$18:$W$37,14)),#N/A,VLOOKUP($AE$75,$F$18:$W$37,14))</f>
        <v>1</v>
      </c>
      <c r="AR75" s="515" t="e">
        <f>IF(ISBLANK(VLOOKUP($AE$75,$F$18:$W$37,15)),#N/A,VLOOKUP($AE$75,$F$18:$W$37,15))</f>
        <v>#N/A</v>
      </c>
      <c r="AS75" s="515" t="e">
        <f>IF(ISBLANK(VLOOKUP($AE$75,$F$18:$W$37,16)),#N/A,VLOOKUP($AE$75,$F$18:$W$37,16))</f>
        <v>#N/A</v>
      </c>
      <c r="AT75" s="515" t="e">
        <f>IF(ISBLANK(VLOOKUP($AE$75,$F$18:$W$37,17)),#N/A,VLOOKUP($AE$75,$F$18:$W$37,17))</f>
        <v>#N/A</v>
      </c>
      <c r="AU75" s="515" t="e">
        <f>IF(ISBLANK(VLOOKUP($AE$75,$F$18:$W$37,18)),#N/A,VLOOKUP($AE$75,$F$18:$W$37,18))</f>
        <v>#N/A</v>
      </c>
      <c r="AV75" s="472"/>
      <c r="AW75" s="472"/>
      <c r="AX75" s="472"/>
      <c r="AY75" s="472"/>
      <c r="AZ75" s="472"/>
    </row>
    <row r="76" spans="25:52" ht="13.5" thickBot="1">
      <c r="Y76" s="472"/>
      <c r="Z76" s="510">
        <f aca="true" t="shared" si="4" ref="Z76:Z94">IF(AND(ISERROR(AA76),ISERROR(AB76)),#N/A,IF(ISBLANK(F19),#N/A,G19))</f>
        <v>60</v>
      </c>
      <c r="AA76" s="511">
        <f>IF(ISBLANK(HLOOKUP($AA$74,$H$9:$W$37,11,FALSE)),#N/A,HLOOKUP($AA$74,$H$9:$W$37,11,FALSE))</f>
        <v>5600</v>
      </c>
      <c r="AB76" s="512">
        <f>IF(ISBLANK(HLOOKUP($AB$74,$H$9:$W$67,41,FALSE)),#N/A,HLOOKUP($AB$74,$H$9:$W$67,41,FALSE))</f>
        <v>91.34</v>
      </c>
      <c r="AC76" s="475">
        <v>41</v>
      </c>
      <c r="AD76" s="513"/>
      <c r="AE76" s="514">
        <f>IF(ISBLANK(Graphical_prest!E40),"",Graphical_prest!E40)</f>
        <v>35952</v>
      </c>
      <c r="AF76" s="515">
        <f>IF(ISBLANK(VLOOKUP($AE$76,$F$18:$W$37,3)),#N/A,VLOOKUP($AE$76,$F$18:$W$37,3))</f>
        <v>2900</v>
      </c>
      <c r="AG76" s="515">
        <f>IF(ISBLANK(VLOOKUP($AE$76,$F$18:$W$37,4)),#N/A,VLOOKUP($AE$76,$F$18:$W$37,4))</f>
        <v>78</v>
      </c>
      <c r="AH76" s="515">
        <f>IF(ISBLANK(VLOOKUP($AE$76,$F$18:$W$37,5)),#N/A,VLOOKUP($AE$76,$F$18:$W$37,5))</f>
        <v>10</v>
      </c>
      <c r="AI76" s="515" t="e">
        <f>IF(ISBLANK(VLOOKUP($AE$76,$F$18:$W$37,6)),#N/A,VLOOKUP($AE$76,$F$18:$W$37,6))</f>
        <v>#N/A</v>
      </c>
      <c r="AJ76" s="515" t="e">
        <f>IF(ISBLANK(VLOOKUP($AE$76,$F$18:$W$37,7)),#N/A,VLOOKUP($AE$76,$F$18:$W$37,7))</f>
        <v>#N/A</v>
      </c>
      <c r="AK76" s="515">
        <f>IF(ISBLANK(VLOOKUP($AE$76,$F$18:$W$37,8)),#N/A,VLOOKUP($AE$76,$F$18:$W$37,8))</f>
        <v>635</v>
      </c>
      <c r="AL76" s="515">
        <f>IF(ISBLANK(VLOOKUP($AE$76,$F$18:$W$37,9)),#N/A,VLOOKUP($AE$76,$F$18:$W$37,9))</f>
        <v>426</v>
      </c>
      <c r="AM76" s="515" t="e">
        <f>IF(ISBLANK(VLOOKUP($AE$76,$F$18:$W$37,10)),#N/A,VLOOKUP($AE$76,$F$18:$W$37,10))</f>
        <v>#N/A</v>
      </c>
      <c r="AN76" s="515" t="e">
        <f>IF(ISBLANK(VLOOKUP($AE$76,$F$18:$W$37,11)),#N/A,VLOOKUP($AE$76,$F$18:$W$37,11))</f>
        <v>#N/A</v>
      </c>
      <c r="AO76" s="515">
        <f>IF(ISBLANK(VLOOKUP($AE$76,$F$18:$W$37,12)),#N/A,VLOOKUP($AE$76,$F$18:$W$37,12))</f>
        <v>455</v>
      </c>
      <c r="AP76" s="515" t="e">
        <f>IF(ISBLANK(VLOOKUP($AE$76,$F$18:$W$37,13)),#N/A,VLOOKUP($AE$76,$F$18:$W$37,13))</f>
        <v>#N/A</v>
      </c>
      <c r="AQ76" s="515" t="e">
        <f>IF(ISBLANK(VLOOKUP($AE$76,$F$18:$W$37,14)),#N/A,VLOOKUP($AE$76,$F$18:$W$37,14))</f>
        <v>#N/A</v>
      </c>
      <c r="AR76" s="515" t="e">
        <f>IF(ISBLANK(VLOOKUP($AE$76,$F$18:$W$37,15)),#N/A,VLOOKUP($AE$76,$F$18:$W$37,15))</f>
        <v>#N/A</v>
      </c>
      <c r="AS76" s="515" t="e">
        <f>IF(ISBLANK(VLOOKUP($AE$76,$F$18:$W$37,16)),#N/A,VLOOKUP($AE$76,$F$18:$W$37,16))</f>
        <v>#N/A</v>
      </c>
      <c r="AT76" s="515" t="e">
        <f>IF(ISBLANK(VLOOKUP($AE$76,$F$18:$W$37,17)),#N/A,VLOOKUP($AE$76,$F$18:$W$37,17))</f>
        <v>#N/A</v>
      </c>
      <c r="AU76" s="515" t="e">
        <f>IF(ISBLANK(VLOOKUP($AE$76,$F$18:$W$37,18)),#N/A,VLOOKUP($AE$76,$F$18:$W$37,18))</f>
        <v>#N/A</v>
      </c>
      <c r="AV76" s="472"/>
      <c r="AW76" s="472"/>
      <c r="AX76" s="472"/>
      <c r="AY76" s="472"/>
      <c r="AZ76" s="472"/>
    </row>
    <row r="77" spans="25:52" ht="13.5" thickBot="1">
      <c r="Y77" s="472"/>
      <c r="Z77" s="510">
        <f t="shared" si="4"/>
        <v>189</v>
      </c>
      <c r="AA77" s="511">
        <f>IF(ISBLANK(HLOOKUP($AA$74,$H$9:$W$37,12,FALSE)),#N/A,HLOOKUP($AA$74,$H$9:$W$37,12,FALSE))</f>
        <v>4500</v>
      </c>
      <c r="AB77" s="512">
        <f>IF(ISBLANK(HLOOKUP($AB$74,$H$9:$W$67,42,FALSE)),#N/A,HLOOKUP($AB$74,$H$9:$W$67,42,FALSE))</f>
        <v>92.2</v>
      </c>
      <c r="AC77" s="475">
        <v>42</v>
      </c>
      <c r="AD77" s="513"/>
      <c r="AE77" s="514">
        <f>IF(ISBLANK(Graphical_prest!E41),"",Graphical_prest!E41)</f>
        <v>36107</v>
      </c>
      <c r="AF77" s="515">
        <f>IF(ISBLANK(VLOOKUP($AE$77,$F$18:$W$37,3)),#N/A,VLOOKUP($AE$77,$F$18:$W$37,3))</f>
        <v>3200</v>
      </c>
      <c r="AG77" s="515">
        <f>IF(ISBLANK(VLOOKUP($AE$77,$F$18:$W$37,4)),#N/A,VLOOKUP($AE$77,$F$18:$W$37,4))</f>
        <v>8</v>
      </c>
      <c r="AH77" s="515">
        <f>IF(ISBLANK(VLOOKUP($AE$77,$F$18:$W$37,5)),#N/A,VLOOKUP($AE$77,$F$18:$W$37,5))</f>
        <v>2</v>
      </c>
      <c r="AI77" s="515" t="e">
        <f>IF(ISBLANK(VLOOKUP($AE$77,$F$18:$W$37,6)),#N/A,VLOOKUP($AE$77,$F$18:$W$37,6))</f>
        <v>#N/A</v>
      </c>
      <c r="AJ77" s="515" t="e">
        <f>IF(ISBLANK(VLOOKUP($AE$77,$F$18:$W$37,7)),#N/A,VLOOKUP($AE$77,$F$18:$W$37,7))</f>
        <v>#N/A</v>
      </c>
      <c r="AK77" s="515">
        <f>IF(ISBLANK(VLOOKUP($AE$77,$F$18:$W$37,8)),#N/A,VLOOKUP($AE$77,$F$18:$W$37,8))</f>
        <v>1210</v>
      </c>
      <c r="AL77" s="515" t="e">
        <f>IF(ISBLANK(VLOOKUP($AE$77,$F$18:$W$37,9)),#N/A,VLOOKUP($AE$77,$F$18:$W$37,9))</f>
        <v>#N/A</v>
      </c>
      <c r="AM77" s="515" t="e">
        <f>IF(ISBLANK(VLOOKUP($AE$77,$F$18:$W$37,10)),#N/A,VLOOKUP($AE$77,$F$18:$W$37,10))</f>
        <v>#N/A</v>
      </c>
      <c r="AN77" s="515" t="e">
        <f>IF(ISBLANK(VLOOKUP($AE$77,$F$18:$W$37,11)),#N/A,VLOOKUP($AE$77,$F$18:$W$37,11))</f>
        <v>#N/A</v>
      </c>
      <c r="AO77" s="515" t="e">
        <f>IF(ISBLANK(VLOOKUP($AE$77,$F$18:$W$37,12)),#N/A,VLOOKUP($AE$77,$F$18:$W$37,12))</f>
        <v>#N/A</v>
      </c>
      <c r="AP77" s="515" t="e">
        <f>IF(ISBLANK(VLOOKUP($AE$77,$F$18:$W$37,13)),#N/A,VLOOKUP($AE$77,$F$18:$W$37,13))</f>
        <v>#N/A</v>
      </c>
      <c r="AQ77" s="515" t="e">
        <f>IF(ISBLANK(VLOOKUP($AE$77,$F$18:$W$37,14)),#N/A,VLOOKUP($AE$77,$F$18:$W$37,14))</f>
        <v>#N/A</v>
      </c>
      <c r="AR77" s="515" t="e">
        <f>IF(ISBLANK(VLOOKUP($AE$77,$F$18:$W$37,15)),#N/A,VLOOKUP($AE$77,$F$18:$W$37,15))</f>
        <v>#N/A</v>
      </c>
      <c r="AS77" s="515" t="e">
        <f>IF(ISBLANK(VLOOKUP($AE$77,$F$18:$W$37,16)),#N/A,VLOOKUP($AE$77,$F$18:$W$37,16))</f>
        <v>#N/A</v>
      </c>
      <c r="AT77" s="515" t="e">
        <f>IF(ISBLANK(VLOOKUP($AE$77,$F$18:$W$37,17)),#N/A,VLOOKUP($AE$77,$F$18:$W$37,17))</f>
        <v>#N/A</v>
      </c>
      <c r="AU77" s="515" t="e">
        <f>IF(ISBLANK(VLOOKUP($AE$77,$F$18:$W$37,18)),#N/A,VLOOKUP($AE$77,$F$18:$W$37,18))</f>
        <v>#N/A</v>
      </c>
      <c r="AV77" s="472"/>
      <c r="AW77" s="472"/>
      <c r="AX77" s="472"/>
      <c r="AY77" s="472"/>
      <c r="AZ77" s="472"/>
    </row>
    <row r="78" spans="25:52" ht="13.5" thickBot="1">
      <c r="Y78" s="472"/>
      <c r="Z78" s="510">
        <f t="shared" si="4"/>
        <v>560</v>
      </c>
      <c r="AA78" s="511">
        <f>IF(ISBLANK(HLOOKUP($AA$74,$H$9:$W$37,13,FALSE)),#N/A,HLOOKUP($AA$74,$H$9:$W$37,13,FALSE))</f>
        <v>2200</v>
      </c>
      <c r="AB78" s="512">
        <f>IF(ISBLANK(HLOOKUP($AB$74,$H$9:$W$67,43,FALSE)),#N/A,HLOOKUP($AB$74,$H$9:$W$67,43,FALSE))</f>
        <v>92.22</v>
      </c>
      <c r="AC78" s="475">
        <v>43</v>
      </c>
      <c r="AD78" s="513"/>
      <c r="AE78" s="514">
        <f>IF(ISBLANK(Graphical_prest!E42),"",Graphical_prest!E42)</f>
        <v>36290</v>
      </c>
      <c r="AF78" s="517">
        <f>IF(ISBLANK(VLOOKUP($AE$78,$F$18:$W$37,3)),#N/A,VLOOKUP($AE$78,$F$18:$W$37,3))</f>
        <v>2350</v>
      </c>
      <c r="AG78" s="517">
        <f>IF(ISBLANK(VLOOKUP($AE$78,$F$18:$W$37,4)),#N/A,VLOOKUP($AE$78,$F$18:$W$37,4))</f>
        <v>5</v>
      </c>
      <c r="AH78" s="517" t="e">
        <f>IF(ISBLANK(VLOOKUP($AE$78,$F$18:$W$37,5)),#N/A,VLOOKUP($AE$78,$F$18:$W$37,5))</f>
        <v>#N/A</v>
      </c>
      <c r="AI78" s="517" t="e">
        <f>IF(ISBLANK(VLOOKUP($AE$78,$F$18:$W$37,6)),#N/A,VLOOKUP($AE$78,$F$18:$W$37,6))</f>
        <v>#N/A</v>
      </c>
      <c r="AJ78" s="517" t="e">
        <f>IF(ISBLANK(VLOOKUP($AE$78,$F$18:$W$37,7)),#N/A,VLOOKUP($AE$78,$F$18:$W$37,7))</f>
        <v>#N/A</v>
      </c>
      <c r="AK78" s="517">
        <f>IF(ISBLANK(VLOOKUP($AE$78,$F$18:$W$37,8)),#N/A,VLOOKUP($AE$78,$F$18:$W$37,8))</f>
        <v>700</v>
      </c>
      <c r="AL78" s="517">
        <f>IF(ISBLANK(VLOOKUP($AE$78,$F$18:$W$37,9)),#N/A,VLOOKUP($AE$78,$F$18:$W$37,9))</f>
        <v>123</v>
      </c>
      <c r="AM78" s="517" t="e">
        <f>IF(ISBLANK(VLOOKUP($AE$78,$F$18:$W$37,10)),#N/A,VLOOKUP($AE$78,$F$18:$W$37,10))</f>
        <v>#N/A</v>
      </c>
      <c r="AN78" s="517">
        <f>IF(ISBLANK(VLOOKUP($AE$78,$F$18:$W$37,11)),#N/A,VLOOKUP($AE$78,$F$18:$W$37,11))</f>
        <v>56</v>
      </c>
      <c r="AO78" s="517">
        <f>IF(ISBLANK(VLOOKUP($AE$78,$F$18:$W$37,12)),#N/A,VLOOKUP($AE$78,$F$18:$W$37,12))</f>
        <v>450</v>
      </c>
      <c r="AP78" s="517" t="e">
        <f>IF(ISBLANK(VLOOKUP($AE$78,$F$18:$W$37,13)),#N/A,VLOOKUP($AE$78,$F$18:$W$37,13))</f>
        <v>#N/A</v>
      </c>
      <c r="AQ78" s="517" t="e">
        <f>IF(ISBLANK(VLOOKUP($AE$78,$F$18:$W$37,14)),#N/A,VLOOKUP($AE$78,$F$18:$W$37,14))</f>
        <v>#N/A</v>
      </c>
      <c r="AR78" s="517" t="e">
        <f>IF(ISBLANK(VLOOKUP($AE$78,$F$18:$W$37,15)),#N/A,VLOOKUP($AE$78,$F$18:$W$37,15))</f>
        <v>#N/A</v>
      </c>
      <c r="AS78" s="517" t="e">
        <f>IF(ISBLANK(VLOOKUP($AE$78,$F$18:$W$37,16)),#N/A,VLOOKUP($AE$78,$F$18:$W$37,16))</f>
        <v>#N/A</v>
      </c>
      <c r="AT78" s="517" t="e">
        <f>IF(ISBLANK(VLOOKUP($AE$78,$F$18:$W$37,17)),#N/A,VLOOKUP($AE$78,$F$18:$W$37,17))</f>
        <v>#N/A</v>
      </c>
      <c r="AU78" s="517" t="e">
        <f>IF(ISBLANK(VLOOKUP($AE$78,$F$18:$W$37,18)),#N/A,VLOOKUP($AE$78,$F$18:$W$37,18))</f>
        <v>#N/A</v>
      </c>
      <c r="AV78" s="472"/>
      <c r="AW78" s="472"/>
      <c r="AX78" s="472"/>
      <c r="AY78" s="472"/>
      <c r="AZ78" s="472"/>
    </row>
    <row r="79" spans="25:52" ht="13.5" thickBot="1">
      <c r="Y79" s="472"/>
      <c r="Z79" s="510">
        <f t="shared" si="4"/>
        <v>1162</v>
      </c>
      <c r="AA79" s="511" t="e">
        <f>IF(ISBLANK(HLOOKUP($AA$74,$H$9:$W$37,14,FALSE)),#N/A,HLOOKUP($AA$74,$H$9:$W$37,14,FALSE))</f>
        <v>#N/A</v>
      </c>
      <c r="AB79" s="512">
        <f>IF(ISBLANK(HLOOKUP($AB$74,$H$9:$W$67,44,FALSE)),#N/A,HLOOKUP($AB$74,$H$9:$W$67,44,FALSE))</f>
        <v>92.23</v>
      </c>
      <c r="AC79" s="475">
        <v>44</v>
      </c>
      <c r="AD79" s="475"/>
      <c r="AE79" s="514">
        <f>IF(ISBLANK(Graphical_prest!E43),"",Graphical_prest!E43)</f>
      </c>
      <c r="AF79" s="517" t="e">
        <f>IF(ISBLANK(VLOOKUP($AE$79,$F$18:$W$37,3)),#N/A,VLOOKUP($AE$79,$F$18:$W$37,3))</f>
        <v>#N/A</v>
      </c>
      <c r="AG79" s="517" t="e">
        <f>IF(ISBLANK(VLOOKUP($AE$79,$F$18:$W$37,4)),#N/A,VLOOKUP($AE$79,$F$18:$W$37,4))</f>
        <v>#N/A</v>
      </c>
      <c r="AH79" s="517" t="e">
        <f>IF(ISBLANK(VLOOKUP($AE$79,$F$18:$W$37,5)),#N/A,VLOOKUP($AE$79,$F$18:$W$37,5))</f>
        <v>#N/A</v>
      </c>
      <c r="AI79" s="517" t="e">
        <f>IF(ISBLANK(VLOOKUP($AE$79,$F$18:$W$37,6)),#N/A,VLOOKUP($AE$79,$F$18:$W$37,6))</f>
        <v>#N/A</v>
      </c>
      <c r="AJ79" s="517" t="e">
        <f>IF(ISBLANK(VLOOKUP($AE$79,$F$18:$W$37,7)),#N/A,VLOOKUP($AE$79,$F$18:$W$37,7))</f>
        <v>#N/A</v>
      </c>
      <c r="AK79" s="517" t="e">
        <f>IF(ISBLANK(VLOOKUP($AE$79,$F$18:$W$37,8)),#N/A,VLOOKUP($AE$79,$F$18:$W$37,8))</f>
        <v>#N/A</v>
      </c>
      <c r="AL79" s="517" t="e">
        <f>IF(ISBLANK(VLOOKUP($AE$79,$F$18:$W$37,9)),#N/A,VLOOKUP($AE$79,$F$18:$W$37,9))</f>
        <v>#N/A</v>
      </c>
      <c r="AM79" s="517" t="e">
        <f>IF(ISBLANK(VLOOKUP($AE$79,$F$18:$W$37,10)),#N/A,VLOOKUP($AE$79,$F$18:$W$37,10))</f>
        <v>#N/A</v>
      </c>
      <c r="AN79" s="517" t="e">
        <f>IF(ISBLANK(VLOOKUP($AE$79,$F$18:$W$37,11)),#N/A,VLOOKUP($AE$79,$F$18:$W$37,11))</f>
        <v>#N/A</v>
      </c>
      <c r="AO79" s="517" t="e">
        <f>IF(ISBLANK(VLOOKUP($AE$79,$F$18:$W$37,12)),#N/A,VLOOKUP($AE$79,$F$18:$W$37,12))</f>
        <v>#N/A</v>
      </c>
      <c r="AP79" s="517" t="e">
        <f>IF(ISBLANK(VLOOKUP($AE$79,$F$18:$W$37,13)),#N/A,VLOOKUP($AE$79,$F$18:$W$37,13))</f>
        <v>#N/A</v>
      </c>
      <c r="AQ79" s="517" t="e">
        <f>IF(ISBLANK(VLOOKUP($AE$79,$F$18:$W$37,14)),#N/A,VLOOKUP($AE$79,$F$18:$W$37,14))</f>
        <v>#N/A</v>
      </c>
      <c r="AR79" s="517" t="e">
        <f>IF(ISBLANK(VLOOKUP($AE$79,$F$18:$W$37,15)),#N/A,VLOOKUP($AE$79,$F$18:$W$37,15))</f>
        <v>#N/A</v>
      </c>
      <c r="AS79" s="517" t="e">
        <f>IF(ISBLANK(VLOOKUP($AE$79,$F$18:$W$37,16)),#N/A,VLOOKUP($AE$79,$F$18:$W$37,16))</f>
        <v>#N/A</v>
      </c>
      <c r="AT79" s="517" t="e">
        <f>IF(ISBLANK(VLOOKUP($AE$79,$F$18:$W$37,17)),#N/A,VLOOKUP($AE$79,$F$18:$W$37,17))</f>
        <v>#N/A</v>
      </c>
      <c r="AU79" s="517" t="e">
        <f>IF(ISBLANK(VLOOKUP($AE$79,$F$18:$W$37,18)),#N/A,VLOOKUP($AE$79,$F$18:$W$37,18))</f>
        <v>#N/A</v>
      </c>
      <c r="AV79" s="472"/>
      <c r="AW79" s="472"/>
      <c r="AX79" s="472"/>
      <c r="AY79" s="472"/>
      <c r="AZ79" s="472"/>
    </row>
    <row r="80" spans="25:48" ht="13.5" thickBot="1">
      <c r="Y80" s="472"/>
      <c r="Z80" s="510">
        <f t="shared" si="4"/>
        <v>1247</v>
      </c>
      <c r="AA80" s="511">
        <f>IF(ISBLANK(HLOOKUP($AA$74,$H$9:$W$37,15,FALSE)),#N/A,HLOOKUP($AA$74,$H$9:$W$37,15,FALSE))</f>
        <v>890</v>
      </c>
      <c r="AB80" s="512">
        <f>IF(ISBLANK(HLOOKUP($AB$74,$H$9:$W$67,45,FALSE)),#N/A,HLOOKUP($AB$74,$H$9:$W$67,45,FALSE))</f>
        <v>91.39</v>
      </c>
      <c r="AC80" s="475">
        <v>45</v>
      </c>
      <c r="AD80" s="475"/>
      <c r="AE80" s="514">
        <f>IF(ISBLANK(Graphical_prest!E44),"",Graphical_prest!E44)</f>
      </c>
      <c r="AF80" s="517" t="e">
        <f>IF(ISBLANK(VLOOKUP($AE$80,$F$18:$W$37,3)),#N/A,VLOOKUP($AE$80,$F$18:$W$37,3))</f>
        <v>#N/A</v>
      </c>
      <c r="AG80" s="517" t="e">
        <f>IF(ISBLANK(VLOOKUP($AE$80,$F$18:$W$37,4)),#N/A,VLOOKUP($AE$80,$F$18:$W$37,4))</f>
        <v>#N/A</v>
      </c>
      <c r="AH80" s="517" t="e">
        <f>IF(ISBLANK(VLOOKUP($AE$80,$F$18:$W$37,5)),#N/A,VLOOKUP($AE$80,$F$18:$W$37,5))</f>
        <v>#N/A</v>
      </c>
      <c r="AI80" s="517" t="e">
        <f>IF(ISBLANK(VLOOKUP($AE$80,$F$18:$W$37,6)),#N/A,VLOOKUP($AE$80,$F$18:$W$37,6))</f>
        <v>#N/A</v>
      </c>
      <c r="AJ80" s="517" t="e">
        <f>IF(ISBLANK(VLOOKUP($AE$80,$F$18:$W$37,7)),#N/A,VLOOKUP($AE$80,$F$18:$W$37,7))</f>
        <v>#N/A</v>
      </c>
      <c r="AK80" s="517" t="e">
        <f>IF(ISBLANK(VLOOKUP($AE$80,$F$18:$W$37,8)),#N/A,VLOOKUP($AE$80,$F$18:$W$37,8))</f>
        <v>#N/A</v>
      </c>
      <c r="AL80" s="517" t="e">
        <f>IF(ISBLANK(VLOOKUP($AE$80,$F$18:$W$37,9)),#N/A,VLOOKUP($AE$80,$F$18:$W$37,9))</f>
        <v>#N/A</v>
      </c>
      <c r="AM80" s="517" t="e">
        <f>IF(ISBLANK(VLOOKUP($AE$80,$F$18:$W$37,10)),#N/A,VLOOKUP($AE$80,$F$18:$W$37,10))</f>
        <v>#N/A</v>
      </c>
      <c r="AN80" s="517" t="e">
        <f>IF(ISBLANK(VLOOKUP($AE$80,$F$18:$W$37,11)),#N/A,VLOOKUP($AE$80,$F$18:$W$37,11))</f>
        <v>#N/A</v>
      </c>
      <c r="AO80" s="517" t="e">
        <f>IF(ISBLANK(VLOOKUP($AE$80,$F$18:$W$37,12)),#N/A,VLOOKUP($AE$80,$F$18:$W$37,12))</f>
        <v>#N/A</v>
      </c>
      <c r="AP80" s="517" t="e">
        <f>IF(ISBLANK(VLOOKUP($AE$80,$F$18:$W$37,13)),#N/A,VLOOKUP($AE$80,$F$18:$W$37,13))</f>
        <v>#N/A</v>
      </c>
      <c r="AQ80" s="517" t="e">
        <f>IF(ISBLANK(VLOOKUP($AE$80,$F$18:$W$37,14)),#N/A,VLOOKUP($AE$80,$F$18:$W$37,14))</f>
        <v>#N/A</v>
      </c>
      <c r="AR80" s="517" t="e">
        <f>IF(ISBLANK(VLOOKUP($AE$80,$F$18:$W$37,15)),#N/A,VLOOKUP($AE$80,$F$18:$W$37,15))</f>
        <v>#N/A</v>
      </c>
      <c r="AS80" s="517" t="e">
        <f>IF(ISBLANK(VLOOKUP($AE$80,$F$18:$W$37,16)),#N/A,VLOOKUP($AE$80,$F$18:$W$37,16))</f>
        <v>#N/A</v>
      </c>
      <c r="AT80" s="517" t="e">
        <f>IF(ISBLANK(VLOOKUP($AE$80,$F$18:$W$37,17)),#N/A,VLOOKUP($AE$80,$F$18:$W$37,17))</f>
        <v>#N/A</v>
      </c>
      <c r="AU80" s="517" t="e">
        <f>IF(ISBLANK(VLOOKUP($AE$80,$F$18:$W$37,18)),#N/A,VLOOKUP($AE$80,$F$18:$W$37,18))</f>
        <v>#N/A</v>
      </c>
      <c r="AV80" s="472"/>
    </row>
    <row r="81" spans="25:48" ht="12.75">
      <c r="Y81" s="472"/>
      <c r="Z81" s="510">
        <f t="shared" si="4"/>
        <v>1336</v>
      </c>
      <c r="AA81" s="511">
        <f>IF(ISBLANK(HLOOKUP($AA$74,$H$9:$W$37,16,FALSE)),#N/A,HLOOKUP($AA$74,$H$9:$W$37,16,FALSE))</f>
        <v>378</v>
      </c>
      <c r="AB81" s="512">
        <f>IF(ISBLANK(HLOOKUP($AB$74,$H$9:$W$67,46,FALSE)),#N/A,HLOOKUP($AB$74,$H$9:$W$67,46,FALSE))</f>
        <v>92.25</v>
      </c>
      <c r="AC81" s="475">
        <v>46</v>
      </c>
      <c r="AD81" s="475"/>
      <c r="AE81" s="513" t="s">
        <v>317</v>
      </c>
      <c r="AF81" s="475">
        <f>IF(ISERROR(AtteuationRate_calc!H11),"NA",AtteuationRate_calc!H11)</f>
        <v>0.009801819458738674</v>
      </c>
      <c r="AG81" s="475">
        <f>IF(ISERROR(AtteuationRate_calc!I11),"NA",AtteuationRate_calc!I11)</f>
        <v>45.73805476470349</v>
      </c>
      <c r="AH81" s="475">
        <f>IF(ISERROR(AtteuationRate_calc!J11),"NA",AtteuationRate_calc!J11)</f>
        <v>79.61019927931916</v>
      </c>
      <c r="AI81" s="475">
        <f>IF(ISERROR(AtteuationRate_calc!K11),"NA",AtteuationRate_calc!K11)</f>
        <v>91.57870901684619</v>
      </c>
      <c r="AJ81" s="475" t="str">
        <f>IF(ISERROR(AtteuationRate_calc!L11),"NA",AtteuationRate_calc!L11)</f>
        <v>NA</v>
      </c>
      <c r="AK81" s="475">
        <f>IF(ISERROR(AtteuationRate_calc!M11),"NA",AtteuationRate_calc!M11)</f>
        <v>123.74858963589776</v>
      </c>
      <c r="AL81" s="475" t="str">
        <f>IF(ISERROR(AtteuationRate_calc!N11),"NA",AtteuationRate_calc!N11)</f>
        <v>NA</v>
      </c>
      <c r="AM81" s="475" t="str">
        <f>IF(ISERROR(AtteuationRate_calc!O11),"NA",AtteuationRate_calc!O11)</f>
        <v>NA</v>
      </c>
      <c r="AN81" s="475">
        <f>IF(ISERROR(AtteuationRate_calc!P11),"NA",AtteuationRate_calc!P11)</f>
        <v>113.22039391981241</v>
      </c>
      <c r="AO81" s="475">
        <f>IF(ISERROR(AtteuationRate_calc!Q11),"NA",AtteuationRate_calc!Q11)</f>
        <v>148.06225699370648</v>
      </c>
      <c r="AP81" s="475">
        <f>IF(ISERROR(AtteuationRate_calc!R11),"NA",AtteuationRate_calc!R11)</f>
        <v>182.37910090843647</v>
      </c>
      <c r="AQ81" s="475">
        <f>IF(ISERROR(AtteuationRate_calc!S11),"NA",AtteuationRate_calc!S11)</f>
        <v>182.37910090843647</v>
      </c>
      <c r="AR81" s="475" t="str">
        <f>IF(ISERROR(AtteuationRate_calc!T11),"NA",AtteuationRate_calc!T11)</f>
        <v>NA</v>
      </c>
      <c r="AS81" s="475" t="str">
        <f>IF(ISERROR(AtteuationRate_calc!U11),"NA",AtteuationRate_calc!U11)</f>
        <v>NA</v>
      </c>
      <c r="AT81" s="475" t="str">
        <f>IF(ISERROR(AtteuationRate_calc!V11),"NA",AtteuationRate_calc!V11)</f>
        <v>NA</v>
      </c>
      <c r="AU81" s="475" t="str">
        <f>IF(ISERROR(AtteuationRate_calc!W11),"NA",AtteuationRate_calc!W11)</f>
        <v>NA</v>
      </c>
      <c r="AV81" s="472"/>
    </row>
    <row r="82" spans="25:48" ht="12.75">
      <c r="Y82" s="472"/>
      <c r="Z82" s="510">
        <f t="shared" si="4"/>
        <v>1732</v>
      </c>
      <c r="AA82" s="511">
        <f>IF(ISBLANK(HLOOKUP($AA$74,$H$9:$W$37,17,FALSE)),#N/A,HLOOKUP($AA$74,$H$9:$W$37,17,FALSE))</f>
        <v>456</v>
      </c>
      <c r="AB82" s="512">
        <f>IF(ISBLANK(HLOOKUP($AB$74,$H$9:$W$67,47,FALSE)),#N/A,HLOOKUP($AB$74,$H$9:$W$67,47,FALSE))</f>
        <v>91.92</v>
      </c>
      <c r="AC82" s="475">
        <v>47</v>
      </c>
      <c r="AD82" s="475"/>
      <c r="AE82" s="513"/>
      <c r="AF82" s="475"/>
      <c r="AG82" s="475"/>
      <c r="AH82" s="475"/>
      <c r="AI82" s="475"/>
      <c r="AJ82" s="475"/>
      <c r="AK82" s="475"/>
      <c r="AL82" s="475"/>
      <c r="AM82" s="475"/>
      <c r="AN82" s="475"/>
      <c r="AO82" s="475"/>
      <c r="AP82" s="475"/>
      <c r="AQ82" s="475"/>
      <c r="AR82" s="475"/>
      <c r="AS82" s="475"/>
      <c r="AT82" s="475"/>
      <c r="AU82" s="475"/>
      <c r="AV82" s="472"/>
    </row>
    <row r="83" spans="25:48" ht="13.5" thickBot="1">
      <c r="Y83" s="472"/>
      <c r="Z83" s="510">
        <f t="shared" si="4"/>
        <v>1841</v>
      </c>
      <c r="AA83" s="511">
        <f>IF(ISBLANK(HLOOKUP($AA$74,$H$9:$W$37,18,FALSE)),#N/A,HLOOKUP($AA$74,$H$9:$W$37,18,FALSE))</f>
        <v>78</v>
      </c>
      <c r="AB83" s="512">
        <f>IF(ISBLANK(HLOOKUP($AB$74,$H$9:$W$67,48,FALSE)),#N/A,HLOOKUP($AB$74,$H$9:$W$67,48,FALSE))</f>
        <v>91.09</v>
      </c>
      <c r="AC83" s="475">
        <v>48</v>
      </c>
      <c r="AD83" s="475"/>
      <c r="AE83" s="513"/>
      <c r="AF83" s="475" t="s">
        <v>318</v>
      </c>
      <c r="AG83" s="475"/>
      <c r="AH83" s="475"/>
      <c r="AI83" s="475"/>
      <c r="AJ83" s="475"/>
      <c r="AK83" s="475"/>
      <c r="AL83" s="475"/>
      <c r="AM83" s="475"/>
      <c r="AN83" s="475"/>
      <c r="AO83" s="475"/>
      <c r="AP83" s="475"/>
      <c r="AQ83" s="475"/>
      <c r="AR83" s="475"/>
      <c r="AS83" s="475"/>
      <c r="AT83" s="475"/>
      <c r="AU83" s="475"/>
      <c r="AV83" s="472"/>
    </row>
    <row r="84" spans="25:48" ht="12.75">
      <c r="Y84" s="472"/>
      <c r="Z84" s="510">
        <f t="shared" si="4"/>
        <v>1959</v>
      </c>
      <c r="AA84" s="511">
        <f>IF(ISBLANK(HLOOKUP($AA$74,$H$9:$W$37,19,FALSE)),#N/A,HLOOKUP($AA$74,$H$9:$W$37,19,FALSE))</f>
        <v>22</v>
      </c>
      <c r="AB84" s="512">
        <f>IF(ISBLANK(HLOOKUP($AB$74,$H$9:$W$67,49,FALSE)),#N/A,HLOOKUP($AB$74,$H$9:$W$67,49,FALSE))</f>
        <v>91.85</v>
      </c>
      <c r="AC84" s="475">
        <v>49</v>
      </c>
      <c r="AD84" s="475"/>
      <c r="AE84" s="802"/>
      <c r="AF84" s="805"/>
      <c r="AG84" s="806">
        <v>15</v>
      </c>
      <c r="AH84" s="806">
        <v>14</v>
      </c>
      <c r="AI84" s="806">
        <v>13</v>
      </c>
      <c r="AJ84" s="806">
        <v>12</v>
      </c>
      <c r="AK84" s="806">
        <v>11</v>
      </c>
      <c r="AL84" s="806">
        <v>10</v>
      </c>
      <c r="AM84" s="806">
        <v>9</v>
      </c>
      <c r="AN84" s="806">
        <v>8</v>
      </c>
      <c r="AO84" s="806">
        <v>7</v>
      </c>
      <c r="AP84" s="806">
        <v>6</v>
      </c>
      <c r="AQ84" s="806">
        <v>5</v>
      </c>
      <c r="AR84" s="806">
        <v>4</v>
      </c>
      <c r="AS84" s="806">
        <v>3</v>
      </c>
      <c r="AT84" s="806">
        <v>2</v>
      </c>
      <c r="AU84" s="807">
        <v>1</v>
      </c>
      <c r="AV84" s="472"/>
    </row>
    <row r="85" spans="25:48" ht="13.5" thickBot="1">
      <c r="Y85" s="472"/>
      <c r="Z85" s="510">
        <f t="shared" si="4"/>
        <v>2016</v>
      </c>
      <c r="AA85" s="511">
        <f>IF(ISBLANK(HLOOKUP($AA$74,$H$9:$W$37,20,FALSE)),#N/A,HLOOKUP($AA$74,$H$9:$W$37,20,FALSE))</f>
        <v>8</v>
      </c>
      <c r="AB85" s="512">
        <f>IF(ISBLANK(HLOOKUP($AB$74,$H$9:$W$67,50,FALSE)),#N/A,HLOOKUP($AB$74,$H$9:$W$67,50,FALSE))</f>
        <v>92.42</v>
      </c>
      <c r="AC85" s="475">
        <v>50</v>
      </c>
      <c r="AD85" s="475"/>
      <c r="AE85" s="808" t="s">
        <v>316</v>
      </c>
      <c r="AF85" s="809">
        <f aca="true" t="shared" si="5" ref="AF85:AF90">AF74</f>
        <v>0.009801819458738674</v>
      </c>
      <c r="AG85" s="810" t="e">
        <f>IF(ISERROR(LARGE($AG$81:$AU$81,AG84)),#N/A,LARGE($AG$81:$AU$81,AG84))</f>
        <v>#N/A</v>
      </c>
      <c r="AH85" s="810" t="e">
        <f aca="true" t="shared" si="6" ref="AH85:AU85">IF(ISERROR(LARGE($AG$81:$AU$81,AH84)),#N/A,LARGE($AG$81:$AU$81,AH84))</f>
        <v>#N/A</v>
      </c>
      <c r="AI85" s="810" t="e">
        <f t="shared" si="6"/>
        <v>#N/A</v>
      </c>
      <c r="AJ85" s="810" t="e">
        <f t="shared" si="6"/>
        <v>#N/A</v>
      </c>
      <c r="AK85" s="810" t="e">
        <f t="shared" si="6"/>
        <v>#N/A</v>
      </c>
      <c r="AL85" s="810" t="e">
        <f t="shared" si="6"/>
        <v>#N/A</v>
      </c>
      <c r="AM85" s="810" t="e">
        <f t="shared" si="6"/>
        <v>#N/A</v>
      </c>
      <c r="AN85" s="810">
        <f t="shared" si="6"/>
        <v>45.73805476470349</v>
      </c>
      <c r="AO85" s="810">
        <f t="shared" si="6"/>
        <v>79.61019927931916</v>
      </c>
      <c r="AP85" s="810">
        <f t="shared" si="6"/>
        <v>91.57870901684619</v>
      </c>
      <c r="AQ85" s="810">
        <f t="shared" si="6"/>
        <v>113.22039391981241</v>
      </c>
      <c r="AR85" s="810">
        <f t="shared" si="6"/>
        <v>123.74858963589776</v>
      </c>
      <c r="AS85" s="810">
        <f t="shared" si="6"/>
        <v>148.06225699370648</v>
      </c>
      <c r="AT85" s="810">
        <f t="shared" si="6"/>
        <v>182.37910090843647</v>
      </c>
      <c r="AU85" s="810">
        <f t="shared" si="6"/>
        <v>182.37910090843647</v>
      </c>
      <c r="AV85" s="472"/>
    </row>
    <row r="86" spans="25:48" ht="12.75">
      <c r="Y86" s="472"/>
      <c r="Z86" s="510">
        <f t="shared" si="4"/>
        <v>2105</v>
      </c>
      <c r="AA86" s="511">
        <f>IF(ISBLANK(HLOOKUP($AA$74,$H$9:$W$37,21,FALSE)),#N/A,HLOOKUP($AA$74,$H$9:$W$37,21,FALSE))</f>
        <v>12</v>
      </c>
      <c r="AB86" s="512">
        <f>IF(ISBLANK(HLOOKUP($AB$74,$H$9:$W$67,51,FALSE)),#N/A,HLOOKUP($AB$74,$H$9:$W$67,51,FALSE))</f>
        <v>92.02</v>
      </c>
      <c r="AC86" s="475">
        <v>51</v>
      </c>
      <c r="AD86" s="475"/>
      <c r="AE86" s="803">
        <f aca="true" t="shared" si="7" ref="AE86:AE91">AE75</f>
        <v>35796</v>
      </c>
      <c r="AF86" s="800">
        <f t="shared" si="5"/>
        <v>3800</v>
      </c>
      <c r="AG86" s="475" t="e">
        <f>IF(ISERROR(AG85),#N/A,HLOOKUP(AG85,$AG$74:$AU$80,2,FALSE))</f>
        <v>#N/A</v>
      </c>
      <c r="AH86" s="475" t="e">
        <f aca="true" t="shared" si="8" ref="AH86:AU86">IF(ISERROR(AH85),#N/A,HLOOKUP(AH85,$AG$74:$AU$80,2,FALSE))</f>
        <v>#N/A</v>
      </c>
      <c r="AI86" s="475" t="e">
        <f t="shared" si="8"/>
        <v>#N/A</v>
      </c>
      <c r="AJ86" s="475" t="e">
        <f t="shared" si="8"/>
        <v>#N/A</v>
      </c>
      <c r="AK86" s="475" t="e">
        <f t="shared" si="8"/>
        <v>#N/A</v>
      </c>
      <c r="AL86" s="475" t="e">
        <f t="shared" si="8"/>
        <v>#N/A</v>
      </c>
      <c r="AM86" s="475" t="e">
        <f t="shared" si="8"/>
        <v>#N/A</v>
      </c>
      <c r="AN86" s="475">
        <f t="shared" si="8"/>
        <v>456</v>
      </c>
      <c r="AO86" s="475">
        <f t="shared" si="8"/>
        <v>23</v>
      </c>
      <c r="AP86" s="475">
        <f t="shared" si="8"/>
        <v>560</v>
      </c>
      <c r="AQ86" s="475">
        <f t="shared" si="8"/>
        <v>360</v>
      </c>
      <c r="AR86" s="475">
        <f t="shared" si="8"/>
        <v>500</v>
      </c>
      <c r="AS86" s="475">
        <f t="shared" si="8"/>
        <v>360</v>
      </c>
      <c r="AT86" s="475" t="e">
        <f t="shared" si="8"/>
        <v>#N/A</v>
      </c>
      <c r="AU86" s="475" t="e">
        <f t="shared" si="8"/>
        <v>#N/A</v>
      </c>
      <c r="AV86" s="472"/>
    </row>
    <row r="87" spans="25:48" ht="12.75">
      <c r="Y87" s="472"/>
      <c r="Z87" s="510">
        <f t="shared" si="4"/>
        <v>2180</v>
      </c>
      <c r="AA87" s="511">
        <f>IF(ISBLANK(HLOOKUP($AA$74,$H$9:$W$37,22,FALSE)),#N/A,HLOOKUP($AA$74,$H$9:$W$37,22,FALSE))</f>
        <v>5</v>
      </c>
      <c r="AB87" s="512">
        <f>IF(ISBLANK(HLOOKUP($AB$74,$H$9:$W$67,52,FALSE)),#N/A,HLOOKUP($AB$74,$H$9:$W$67,52,FALSE))</f>
        <v>92.8</v>
      </c>
      <c r="AC87" s="475">
        <v>52</v>
      </c>
      <c r="AD87" s="475"/>
      <c r="AE87" s="803">
        <f t="shared" si="7"/>
        <v>35952</v>
      </c>
      <c r="AF87" s="800">
        <f t="shared" si="5"/>
        <v>2900</v>
      </c>
      <c r="AG87" s="475" t="e">
        <f>IF(ISERROR(AG85),#N/A,HLOOKUP(AG85,$AG$74:$AU$80,3,FALSE))</f>
        <v>#N/A</v>
      </c>
      <c r="AH87" s="475" t="e">
        <f aca="true" t="shared" si="9" ref="AH87:AU87">IF(ISERROR(AH85),#N/A,HLOOKUP(AH85,$AG$74:$AU$80,3,FALSE))</f>
        <v>#N/A</v>
      </c>
      <c r="AI87" s="475" t="e">
        <f t="shared" si="9"/>
        <v>#N/A</v>
      </c>
      <c r="AJ87" s="475" t="e">
        <f t="shared" si="9"/>
        <v>#N/A</v>
      </c>
      <c r="AK87" s="475" t="e">
        <f t="shared" si="9"/>
        <v>#N/A</v>
      </c>
      <c r="AL87" s="475" t="e">
        <f t="shared" si="9"/>
        <v>#N/A</v>
      </c>
      <c r="AM87" s="475" t="e">
        <f t="shared" si="9"/>
        <v>#N/A</v>
      </c>
      <c r="AN87" s="475">
        <f t="shared" si="9"/>
        <v>78</v>
      </c>
      <c r="AO87" s="475">
        <f t="shared" si="9"/>
        <v>10</v>
      </c>
      <c r="AP87" s="475" t="e">
        <f t="shared" si="9"/>
        <v>#N/A</v>
      </c>
      <c r="AQ87" s="475" t="e">
        <f t="shared" si="9"/>
        <v>#N/A</v>
      </c>
      <c r="AR87" s="475">
        <f t="shared" si="9"/>
        <v>635</v>
      </c>
      <c r="AS87" s="475">
        <f t="shared" si="9"/>
        <v>455</v>
      </c>
      <c r="AT87" s="475" t="e">
        <f t="shared" si="9"/>
        <v>#N/A</v>
      </c>
      <c r="AU87" s="475" t="e">
        <f t="shared" si="9"/>
        <v>#N/A</v>
      </c>
      <c r="AV87" s="472"/>
    </row>
    <row r="88" spans="25:48" ht="12.75">
      <c r="Y88" s="472"/>
      <c r="Z88" s="510" t="e">
        <f t="shared" si="4"/>
        <v>#N/A</v>
      </c>
      <c r="AA88" s="511" t="e">
        <f>IF(ISBLANK(HLOOKUP($AA$74,$H$9:$W$37,23,FALSE)),#N/A,HLOOKUP($AA$74,$H$9:$W$37,23,FALSE))</f>
        <v>#N/A</v>
      </c>
      <c r="AB88" s="512" t="e">
        <f>IF(ISBLANK(HLOOKUP($AB$74,$H$9:$W$67,53,FALSE)),#N/A,HLOOKUP($AB$74,$H$9:$W$67,53,FALSE))</f>
        <v>#N/A</v>
      </c>
      <c r="AC88" s="475">
        <v>53</v>
      </c>
      <c r="AD88" s="475"/>
      <c r="AE88" s="803">
        <f t="shared" si="7"/>
        <v>36107</v>
      </c>
      <c r="AF88" s="800">
        <f t="shared" si="5"/>
        <v>3200</v>
      </c>
      <c r="AG88" s="475" t="e">
        <f>IF(ISERROR(AG85),#N/A,HLOOKUP(AG85,$AG$74:$AU$80,4,FALSE))</f>
        <v>#N/A</v>
      </c>
      <c r="AH88" s="475" t="e">
        <f aca="true" t="shared" si="10" ref="AH88:AU88">IF(ISERROR(AH85),#N/A,HLOOKUP(AH85,$AG$74:$AU$80,4,FALSE))</f>
        <v>#N/A</v>
      </c>
      <c r="AI88" s="475" t="e">
        <f t="shared" si="10"/>
        <v>#N/A</v>
      </c>
      <c r="AJ88" s="475" t="e">
        <f t="shared" si="10"/>
        <v>#N/A</v>
      </c>
      <c r="AK88" s="475" t="e">
        <f t="shared" si="10"/>
        <v>#N/A</v>
      </c>
      <c r="AL88" s="475" t="e">
        <f t="shared" si="10"/>
        <v>#N/A</v>
      </c>
      <c r="AM88" s="475" t="e">
        <f t="shared" si="10"/>
        <v>#N/A</v>
      </c>
      <c r="AN88" s="475">
        <f t="shared" si="10"/>
        <v>8</v>
      </c>
      <c r="AO88" s="475">
        <f t="shared" si="10"/>
        <v>2</v>
      </c>
      <c r="AP88" s="475" t="e">
        <f t="shared" si="10"/>
        <v>#N/A</v>
      </c>
      <c r="AQ88" s="475" t="e">
        <f t="shared" si="10"/>
        <v>#N/A</v>
      </c>
      <c r="AR88" s="475">
        <f t="shared" si="10"/>
        <v>1210</v>
      </c>
      <c r="AS88" s="475" t="e">
        <f t="shared" si="10"/>
        <v>#N/A</v>
      </c>
      <c r="AT88" s="475" t="e">
        <f t="shared" si="10"/>
        <v>#N/A</v>
      </c>
      <c r="AU88" s="475" t="e">
        <f t="shared" si="10"/>
        <v>#N/A</v>
      </c>
      <c r="AV88" s="472"/>
    </row>
    <row r="89" spans="25:48" ht="12.75">
      <c r="Y89" s="472"/>
      <c r="Z89" s="510" t="e">
        <f t="shared" si="4"/>
        <v>#N/A</v>
      </c>
      <c r="AA89" s="511" t="e">
        <f>IF(ISBLANK(HLOOKUP($AA$74,$H$9:$W$37,24,FALSE)),#N/A,HLOOKUP($AA$74,$H$9:$W$37,24,FALSE))</f>
        <v>#N/A</v>
      </c>
      <c r="AB89" s="512" t="e">
        <f>IF(ISBLANK(HLOOKUP($AB$74,$H$9:$W$67,54,FALSE)),#N/A,HLOOKUP($AB$74,$H$9:$W$67,54,FALSE))</f>
        <v>#N/A</v>
      </c>
      <c r="AC89" s="475">
        <v>54</v>
      </c>
      <c r="AD89" s="475"/>
      <c r="AE89" s="803">
        <f t="shared" si="7"/>
        <v>36290</v>
      </c>
      <c r="AF89" s="800">
        <f t="shared" si="5"/>
        <v>2350</v>
      </c>
      <c r="AG89" s="475" t="e">
        <f>IF(ISERROR(AG85),#N/A,HLOOKUP(AG85,$AG$74:$AU$80,5,FALSE))</f>
        <v>#N/A</v>
      </c>
      <c r="AH89" s="475" t="e">
        <f aca="true" t="shared" si="11" ref="AH89:AU89">IF(ISERROR(AH85),#N/A,HLOOKUP(AH85,$AG$74:$AU$80,5,FALSE))</f>
        <v>#N/A</v>
      </c>
      <c r="AI89" s="475" t="e">
        <f t="shared" si="11"/>
        <v>#N/A</v>
      </c>
      <c r="AJ89" s="475" t="e">
        <f t="shared" si="11"/>
        <v>#N/A</v>
      </c>
      <c r="AK89" s="475" t="e">
        <f t="shared" si="11"/>
        <v>#N/A</v>
      </c>
      <c r="AL89" s="475" t="e">
        <f t="shared" si="11"/>
        <v>#N/A</v>
      </c>
      <c r="AM89" s="475" t="e">
        <f t="shared" si="11"/>
        <v>#N/A</v>
      </c>
      <c r="AN89" s="475">
        <f t="shared" si="11"/>
        <v>5</v>
      </c>
      <c r="AO89" s="475" t="e">
        <f t="shared" si="11"/>
        <v>#N/A</v>
      </c>
      <c r="AP89" s="475" t="e">
        <f t="shared" si="11"/>
        <v>#N/A</v>
      </c>
      <c r="AQ89" s="475">
        <f t="shared" si="11"/>
        <v>56</v>
      </c>
      <c r="AR89" s="475">
        <f t="shared" si="11"/>
        <v>700</v>
      </c>
      <c r="AS89" s="475">
        <f t="shared" si="11"/>
        <v>450</v>
      </c>
      <c r="AT89" s="475" t="e">
        <f t="shared" si="11"/>
        <v>#N/A</v>
      </c>
      <c r="AU89" s="475" t="e">
        <f t="shared" si="11"/>
        <v>#N/A</v>
      </c>
      <c r="AV89" s="472"/>
    </row>
    <row r="90" spans="25:48" ht="12.75">
      <c r="Y90" s="472"/>
      <c r="Z90" s="510" t="e">
        <f t="shared" si="4"/>
        <v>#N/A</v>
      </c>
      <c r="AA90" s="511" t="e">
        <f>IF(ISBLANK(HLOOKUP($AA$74,$H$9:$W$37,25,FALSE)),#N/A,HLOOKUP($AA$74,$H$9:$W$37,25,FALSE))</f>
        <v>#N/A</v>
      </c>
      <c r="AB90" s="512" t="e">
        <f>IF(ISBLANK(HLOOKUP($AB$74,$H$9:$W$67,55,FALSE)),#N/A,HLOOKUP($AB$74,$H$9:$W$67,55,FALSE))</f>
        <v>#N/A</v>
      </c>
      <c r="AC90" s="475">
        <v>55</v>
      </c>
      <c r="AD90" s="475"/>
      <c r="AE90" s="803">
        <f t="shared" si="7"/>
      </c>
      <c r="AF90" s="800" t="e">
        <f t="shared" si="5"/>
        <v>#N/A</v>
      </c>
      <c r="AG90" s="475" t="e">
        <f>IF(ISERROR(AG85),#N/A,HLOOKUP(AG85,$AG$74:$AU$80,6,FALSE))</f>
        <v>#N/A</v>
      </c>
      <c r="AH90" s="475" t="e">
        <f aca="true" t="shared" si="12" ref="AH90:AU90">IF(ISERROR(AH85),#N/A,HLOOKUP(AH85,$AG$74:$AU$80,6,FALSE))</f>
        <v>#N/A</v>
      </c>
      <c r="AI90" s="475" t="e">
        <f t="shared" si="12"/>
        <v>#N/A</v>
      </c>
      <c r="AJ90" s="475" t="e">
        <f t="shared" si="12"/>
        <v>#N/A</v>
      </c>
      <c r="AK90" s="475" t="e">
        <f t="shared" si="12"/>
        <v>#N/A</v>
      </c>
      <c r="AL90" s="475" t="e">
        <f t="shared" si="12"/>
        <v>#N/A</v>
      </c>
      <c r="AM90" s="475" t="e">
        <f t="shared" si="12"/>
        <v>#N/A</v>
      </c>
      <c r="AN90" s="475" t="e">
        <f t="shared" si="12"/>
        <v>#N/A</v>
      </c>
      <c r="AO90" s="475" t="e">
        <f t="shared" si="12"/>
        <v>#N/A</v>
      </c>
      <c r="AP90" s="475" t="e">
        <f t="shared" si="12"/>
        <v>#N/A</v>
      </c>
      <c r="AQ90" s="475" t="e">
        <f t="shared" si="12"/>
        <v>#N/A</v>
      </c>
      <c r="AR90" s="475" t="e">
        <f t="shared" si="12"/>
        <v>#N/A</v>
      </c>
      <c r="AS90" s="475" t="e">
        <f t="shared" si="12"/>
        <v>#N/A</v>
      </c>
      <c r="AT90" s="475" t="e">
        <f t="shared" si="12"/>
        <v>#N/A</v>
      </c>
      <c r="AU90" s="475" t="e">
        <f t="shared" si="12"/>
        <v>#N/A</v>
      </c>
      <c r="AV90" s="472"/>
    </row>
    <row r="91" spans="25:48" ht="13.5" thickBot="1">
      <c r="Y91" s="472"/>
      <c r="Z91" s="510" t="e">
        <f t="shared" si="4"/>
        <v>#N/A</v>
      </c>
      <c r="AA91" s="511" t="e">
        <f>IF(ISBLANK(HLOOKUP($AA$74,$H$9:$W$37,26,FALSE)),#N/A,HLOOKUP($AA$74,$H$9:$W$37,26,FALSE))</f>
        <v>#N/A</v>
      </c>
      <c r="AB91" s="512" t="e">
        <f>IF(ISBLANK(HLOOKUP($AB$74,$H$9:$W$67,56,FALSE)),#N/A,HLOOKUP($AB$74,$H$9:$W$67,56,FALSE))</f>
        <v>#N/A</v>
      </c>
      <c r="AC91" s="475">
        <v>56</v>
      </c>
      <c r="AD91" s="475"/>
      <c r="AE91" s="804">
        <f t="shared" si="7"/>
      </c>
      <c r="AF91" s="801" t="e">
        <f>AF80</f>
        <v>#N/A</v>
      </c>
      <c r="AG91" s="529" t="e">
        <f>IF(ISERROR(AG85),#N/A,HLOOKUP(AG85,$AG$74:$AU$80,7,FALSE))</f>
        <v>#N/A</v>
      </c>
      <c r="AH91" s="529" t="e">
        <f aca="true" t="shared" si="13" ref="AH91:AU91">IF(ISERROR(AH85),#N/A,HLOOKUP(AH85,$AG$74:$AU$80,7,FALSE))</f>
        <v>#N/A</v>
      </c>
      <c r="AI91" s="529" t="e">
        <f t="shared" si="13"/>
        <v>#N/A</v>
      </c>
      <c r="AJ91" s="529" t="e">
        <f t="shared" si="13"/>
        <v>#N/A</v>
      </c>
      <c r="AK91" s="529" t="e">
        <f t="shared" si="13"/>
        <v>#N/A</v>
      </c>
      <c r="AL91" s="529" t="e">
        <f t="shared" si="13"/>
        <v>#N/A</v>
      </c>
      <c r="AM91" s="529" t="e">
        <f t="shared" si="13"/>
        <v>#N/A</v>
      </c>
      <c r="AN91" s="529" t="e">
        <f t="shared" si="13"/>
        <v>#N/A</v>
      </c>
      <c r="AO91" s="529" t="e">
        <f t="shared" si="13"/>
        <v>#N/A</v>
      </c>
      <c r="AP91" s="529" t="e">
        <f t="shared" si="13"/>
        <v>#N/A</v>
      </c>
      <c r="AQ91" s="529" t="e">
        <f t="shared" si="13"/>
        <v>#N/A</v>
      </c>
      <c r="AR91" s="529" t="e">
        <f t="shared" si="13"/>
        <v>#N/A</v>
      </c>
      <c r="AS91" s="529" t="e">
        <f t="shared" si="13"/>
        <v>#N/A</v>
      </c>
      <c r="AT91" s="529" t="e">
        <f t="shared" si="13"/>
        <v>#N/A</v>
      </c>
      <c r="AU91" s="529" t="e">
        <f t="shared" si="13"/>
        <v>#N/A</v>
      </c>
      <c r="AV91" s="472"/>
    </row>
    <row r="92" spans="25:48" ht="12.75">
      <c r="Y92" s="472"/>
      <c r="Z92" s="510" t="e">
        <f t="shared" si="4"/>
        <v>#N/A</v>
      </c>
      <c r="AA92" s="511" t="e">
        <f>IF(ISBLANK(HLOOKUP($AA$74,$H$9:$W$37,27,FALSE)),#N/A,HLOOKUP($AA$74,$H$9:$W$37,27,FALSE))</f>
        <v>#N/A</v>
      </c>
      <c r="AB92" s="512" t="e">
        <f>IF(ISBLANK(HLOOKUP($AB$74,$H$9:$W$67,57,FALSE)),#N/A,HLOOKUP($AB$74,$H$9:$W$67,57,FALSE))</f>
        <v>#N/A</v>
      </c>
      <c r="AC92" s="475">
        <v>57</v>
      </c>
      <c r="AD92" s="475"/>
      <c r="AE92" s="472"/>
      <c r="AF92" s="472"/>
      <c r="AG92" s="472"/>
      <c r="AH92" s="472"/>
      <c r="AI92" s="472"/>
      <c r="AJ92" s="472"/>
      <c r="AK92" s="472"/>
      <c r="AL92" s="472"/>
      <c r="AM92" s="472"/>
      <c r="AN92" s="472"/>
      <c r="AO92" s="472"/>
      <c r="AP92" s="472"/>
      <c r="AQ92" s="472"/>
      <c r="AR92" s="472"/>
      <c r="AS92" s="472"/>
      <c r="AT92" s="472"/>
      <c r="AU92" s="472"/>
      <c r="AV92" s="472"/>
    </row>
    <row r="93" spans="25:48" ht="12.75">
      <c r="Y93" s="472"/>
      <c r="Z93" s="510" t="e">
        <f t="shared" si="4"/>
        <v>#N/A</v>
      </c>
      <c r="AA93" s="511" t="e">
        <f>IF(ISBLANK(HLOOKUP($AA$74,$H$9:$W$37,28,FALSE)),#N/A,HLOOKUP($AA$74,$H$9:$W$37,28,FALSE))</f>
        <v>#N/A</v>
      </c>
      <c r="AB93" s="512" t="e">
        <f>IF(ISBLANK(HLOOKUP($AB$74,$H$9:$W$67,58,FALSE)),#N/A,HLOOKUP($AB$74,$H$9:$W$67,58,FALSE))</f>
        <v>#N/A</v>
      </c>
      <c r="AC93" s="475">
        <v>58</v>
      </c>
      <c r="AD93" s="475"/>
      <c r="AE93" s="472"/>
      <c r="AF93" s="518"/>
      <c r="AG93" s="472"/>
      <c r="AH93" s="472"/>
      <c r="AI93" s="472"/>
      <c r="AJ93" s="472"/>
      <c r="AK93" s="472"/>
      <c r="AL93" s="472"/>
      <c r="AM93" s="472"/>
      <c r="AN93" s="472"/>
      <c r="AO93" s="472"/>
      <c r="AP93" s="472"/>
      <c r="AQ93" s="472"/>
      <c r="AR93" s="472"/>
      <c r="AS93" s="472"/>
      <c r="AT93" s="472"/>
      <c r="AU93" s="472"/>
      <c r="AV93" s="472"/>
    </row>
    <row r="94" spans="25:48" ht="13.5" thickBot="1">
      <c r="Y94" s="472"/>
      <c r="Z94" s="510" t="e">
        <f t="shared" si="4"/>
        <v>#N/A</v>
      </c>
      <c r="AA94" s="511" t="e">
        <f>IF(ISBLANK(HLOOKUP($AA$74,$H$9:$W$37,29,FALSE)),#N/A,HLOOKUP($AA$74,$H$9:$W$37,29,FALSE))</f>
        <v>#N/A</v>
      </c>
      <c r="AB94" s="512" t="e">
        <f>IF(ISBLANK(HLOOKUP($AB$74,$H$9:$W$67,59,FALSE)),#N/A,HLOOKUP($AB$74,$H$9:$W$67,59,FALSE))</f>
        <v>#N/A</v>
      </c>
      <c r="AC94" s="475">
        <v>59</v>
      </c>
      <c r="AD94" s="475"/>
      <c r="AE94" s="531"/>
      <c r="AF94" s="518"/>
      <c r="AG94" s="472"/>
      <c r="AH94" s="472"/>
      <c r="AI94" s="472"/>
      <c r="AJ94" s="472"/>
      <c r="AK94" s="472"/>
      <c r="AL94" s="472"/>
      <c r="AM94" s="472"/>
      <c r="AN94" s="472"/>
      <c r="AO94" s="472"/>
      <c r="AP94" s="472"/>
      <c r="AQ94" s="472"/>
      <c r="AR94" s="472"/>
      <c r="AS94" s="472"/>
      <c r="AT94" s="472"/>
      <c r="AU94" s="472"/>
      <c r="AV94" s="472"/>
    </row>
    <row r="95" spans="25:48" ht="13.5" thickBot="1">
      <c r="Y95" s="472"/>
      <c r="Z95" s="526" t="s">
        <v>175</v>
      </c>
      <c r="AA95" s="984">
        <f>IF(ISERROR(HLOOKUP($AA$74,$H$9:$W$46,34,FALSE)),#N/A,HLOOKUP($AA$74,$H$9:$W$46,34,FALSE))</f>
        <v>0.9999869873715387</v>
      </c>
      <c r="AB95" s="527"/>
      <c r="AC95" s="475"/>
      <c r="AD95" s="475"/>
      <c r="AE95" s="531"/>
      <c r="AF95" s="518"/>
      <c r="AG95" s="472"/>
      <c r="AH95" s="472"/>
      <c r="AI95" s="472"/>
      <c r="AJ95" s="472"/>
      <c r="AK95" s="472"/>
      <c r="AL95" s="472"/>
      <c r="AM95" s="472"/>
      <c r="AN95" s="472"/>
      <c r="AO95" s="472"/>
      <c r="AP95" s="472"/>
      <c r="AQ95" s="472"/>
      <c r="AR95" s="472"/>
      <c r="AS95" s="472"/>
      <c r="AT95" s="472"/>
      <c r="AU95" s="472"/>
      <c r="AV95" s="472"/>
    </row>
    <row r="96" spans="25:48" ht="13.5" thickBot="1">
      <c r="Y96" s="472"/>
      <c r="Z96" s="526" t="s">
        <v>304</v>
      </c>
      <c r="AA96" s="529" t="str">
        <f>IF(ISERROR(AA95),#N/A,HLOOKUP($AA$74,Temporal_Analysis!G10:V68,51,FALSE))</f>
        <v>Shrinking</v>
      </c>
      <c r="AB96" s="527"/>
      <c r="AC96" s="475"/>
      <c r="AD96" s="475"/>
      <c r="AE96" s="531"/>
      <c r="AF96" s="518"/>
      <c r="AG96" s="472"/>
      <c r="AH96" s="472"/>
      <c r="AI96" s="472"/>
      <c r="AJ96" s="472"/>
      <c r="AK96" s="472"/>
      <c r="AL96" s="472"/>
      <c r="AM96" s="472"/>
      <c r="AN96" s="472"/>
      <c r="AO96" s="472"/>
      <c r="AP96" s="472"/>
      <c r="AQ96" s="472"/>
      <c r="AR96" s="472"/>
      <c r="AS96" s="472"/>
      <c r="AT96" s="472"/>
      <c r="AU96" s="472"/>
      <c r="AV96" s="472"/>
    </row>
    <row r="97" spans="25:48" ht="12.75">
      <c r="Y97" s="472"/>
      <c r="Z97" s="475"/>
      <c r="AA97" s="475"/>
      <c r="AB97" s="475"/>
      <c r="AC97" s="475"/>
      <c r="AD97" s="475"/>
      <c r="AE97" s="531">
        <f>AE89</f>
        <v>36290</v>
      </c>
      <c r="AF97" s="518">
        <f>AF89</f>
        <v>2350</v>
      </c>
      <c r="AG97" s="472"/>
      <c r="AH97" s="472"/>
      <c r="AI97" s="472"/>
      <c r="AJ97" s="472"/>
      <c r="AK97" s="472"/>
      <c r="AL97" s="472"/>
      <c r="AM97" s="472"/>
      <c r="AN97" s="472"/>
      <c r="AO97" s="472"/>
      <c r="AP97" s="472"/>
      <c r="AQ97" s="472"/>
      <c r="AR97" s="472"/>
      <c r="AS97" s="472"/>
      <c r="AT97" s="472"/>
      <c r="AU97" s="472"/>
      <c r="AV97" s="472"/>
    </row>
    <row r="98" spans="25:48" ht="12.75">
      <c r="Y98" s="472"/>
      <c r="Z98" s="475" t="s">
        <v>386</v>
      </c>
      <c r="AA98" s="475">
        <f>SigLevel_LinReg</f>
        <v>0.85</v>
      </c>
      <c r="AB98" s="475"/>
      <c r="AC98" s="475"/>
      <c r="AD98" s="475"/>
      <c r="AE98" s="472"/>
      <c r="AF98" s="472"/>
      <c r="AG98" s="472"/>
      <c r="AH98" s="472"/>
      <c r="AI98" s="472"/>
      <c r="AJ98" s="472"/>
      <c r="AK98" s="472"/>
      <c r="AL98" s="472"/>
      <c r="AM98" s="472"/>
      <c r="AN98" s="472"/>
      <c r="AO98" s="472"/>
      <c r="AP98" s="472"/>
      <c r="AQ98" s="472"/>
      <c r="AR98" s="472"/>
      <c r="AS98" s="472"/>
      <c r="AT98" s="472"/>
      <c r="AU98" s="472"/>
      <c r="AV98" s="472"/>
    </row>
    <row r="99" spans="25:48" ht="12.75">
      <c r="Y99" s="472"/>
      <c r="Z99" s="661" t="s">
        <v>356</v>
      </c>
      <c r="AA99" s="681">
        <f>IF(ISERROR(AA95),#N/A,HLOOKUP($AA$74,Temporal_Analysis!G10:V68,55,FALSE))</f>
        <v>1.058173503422286</v>
      </c>
      <c r="AB99" s="475"/>
      <c r="AC99" s="475"/>
      <c r="AD99" s="475"/>
      <c r="AE99" s="472"/>
      <c r="AF99" s="472"/>
      <c r="AG99" s="472"/>
      <c r="AH99" s="472"/>
      <c r="AI99" s="472"/>
      <c r="AJ99" s="472"/>
      <c r="AK99" s="472"/>
      <c r="AL99" s="472"/>
      <c r="AM99" s="472"/>
      <c r="AN99" s="472"/>
      <c r="AO99" s="472"/>
      <c r="AP99" s="472"/>
      <c r="AQ99" s="472"/>
      <c r="AR99" s="472"/>
      <c r="AS99" s="472"/>
      <c r="AT99" s="472"/>
      <c r="AU99" s="472"/>
      <c r="AV99" s="472"/>
    </row>
    <row r="100" spans="25:48" ht="12.75">
      <c r="Y100" s="472"/>
      <c r="Z100" s="661"/>
      <c r="AA100" s="681"/>
      <c r="AB100" s="475"/>
      <c r="AC100" s="475"/>
      <c r="AD100" s="475"/>
      <c r="AE100" s="472"/>
      <c r="AF100" s="472"/>
      <c r="AG100" s="472"/>
      <c r="AH100" s="472"/>
      <c r="AI100" s="472"/>
      <c r="AJ100" s="472"/>
      <c r="AK100" s="472"/>
      <c r="AL100" s="472"/>
      <c r="AM100" s="472"/>
      <c r="AN100" s="472"/>
      <c r="AO100" s="472"/>
      <c r="AP100" s="472"/>
      <c r="AQ100" s="472"/>
      <c r="AR100" s="472"/>
      <c r="AS100" s="472"/>
      <c r="AT100" s="472"/>
      <c r="AU100" s="472"/>
      <c r="AV100" s="472"/>
    </row>
    <row r="101" spans="25:48" ht="12.75">
      <c r="Y101" s="472"/>
      <c r="Z101" s="661" t="s">
        <v>437</v>
      </c>
      <c r="AA101" s="681">
        <f>IF(ISERROR(AA95),#N/A,HLOOKUP($AA$74,Temporal_Analysis!G10:V68,58,FALSE))</f>
        <v>0.6550411424196572</v>
      </c>
      <c r="AB101" s="475"/>
      <c r="AC101" s="475"/>
      <c r="AD101" s="475"/>
      <c r="AE101" s="472"/>
      <c r="AF101" s="472"/>
      <c r="AG101" s="472"/>
      <c r="AH101" s="472"/>
      <c r="AI101" s="472"/>
      <c r="AJ101" s="472"/>
      <c r="AK101" s="472"/>
      <c r="AL101" s="472"/>
      <c r="AM101" s="472"/>
      <c r="AN101" s="472"/>
      <c r="AO101" s="472"/>
      <c r="AP101" s="472"/>
      <c r="AQ101" s="472"/>
      <c r="AR101" s="472"/>
      <c r="AS101" s="472"/>
      <c r="AT101" s="472"/>
      <c r="AU101" s="472"/>
      <c r="AV101" s="472"/>
    </row>
    <row r="102" spans="25:48" ht="12.75">
      <c r="Y102" s="472"/>
      <c r="Z102" s="475" t="s">
        <v>436</v>
      </c>
      <c r="AA102" s="681">
        <f>IF(ISERROR(AA95),#N/A,HLOOKUP($AA$74,Temporal_Analysis!G10:V68,56,FALSE))</f>
        <v>0.9126526665118497</v>
      </c>
      <c r="AB102" s="475"/>
      <c r="AC102" s="475"/>
      <c r="AD102" s="475"/>
      <c r="AE102" s="472"/>
      <c r="AF102" s="472"/>
      <c r="AG102" s="472"/>
      <c r="AH102" s="472"/>
      <c r="AI102" s="472"/>
      <c r="AJ102" s="472"/>
      <c r="AK102" s="472"/>
      <c r="AL102" s="472"/>
      <c r="AM102" s="472"/>
      <c r="AN102" s="472"/>
      <c r="AO102" s="472"/>
      <c r="AP102" s="472"/>
      <c r="AQ102" s="472"/>
      <c r="AR102" s="472"/>
      <c r="AS102" s="472"/>
      <c r="AT102" s="472"/>
      <c r="AU102" s="472"/>
      <c r="AV102" s="472"/>
    </row>
    <row r="103" spans="25:48" ht="12.75">
      <c r="Y103" s="472"/>
      <c r="Z103" s="475" t="s">
        <v>359</v>
      </c>
      <c r="AA103" s="681">
        <f>IF(ISERROR(AA95),#N/A,HLOOKUP($AA$74,Temporal_Analysis!G10:V68,59,FALSE))</f>
        <v>0.759486282124335</v>
      </c>
      <c r="AB103" s="475"/>
      <c r="AC103" s="475"/>
      <c r="AD103" s="475"/>
      <c r="AE103" s="472"/>
      <c r="AF103" s="472"/>
      <c r="AG103" s="472"/>
      <c r="AH103" s="472"/>
      <c r="AI103" s="472"/>
      <c r="AJ103" s="472"/>
      <c r="AK103" s="472"/>
      <c r="AL103" s="472"/>
      <c r="AM103" s="472"/>
      <c r="AN103" s="472"/>
      <c r="AO103" s="472"/>
      <c r="AP103" s="472"/>
      <c r="AQ103" s="472"/>
      <c r="AR103" s="472"/>
      <c r="AS103" s="472"/>
      <c r="AT103" s="472"/>
      <c r="AU103" s="472"/>
      <c r="AV103" s="472"/>
    </row>
    <row r="104" spans="25:48" ht="12.75">
      <c r="Y104" s="472"/>
      <c r="Z104" s="475"/>
      <c r="AA104" s="475"/>
      <c r="AB104" s="475"/>
      <c r="AC104" s="475"/>
      <c r="AD104" s="475"/>
      <c r="AE104" s="472"/>
      <c r="AF104" s="472"/>
      <c r="AG104" s="472"/>
      <c r="AH104" s="472"/>
      <c r="AI104" s="472"/>
      <c r="AJ104" s="472"/>
      <c r="AK104" s="472"/>
      <c r="AL104" s="472"/>
      <c r="AM104" s="472"/>
      <c r="AN104" s="472"/>
      <c r="AO104" s="472"/>
      <c r="AP104" s="472"/>
      <c r="AQ104" s="472"/>
      <c r="AR104" s="472"/>
      <c r="AS104" s="472"/>
      <c r="AT104" s="472"/>
      <c r="AU104" s="472"/>
      <c r="AV104" s="472"/>
    </row>
    <row r="105" spans="25:48" ht="12.75">
      <c r="Y105" s="472"/>
      <c r="Z105" s="475"/>
      <c r="AA105" s="475"/>
      <c r="AB105" s="475"/>
      <c r="AC105" s="475"/>
      <c r="AD105" s="475"/>
      <c r="AE105" s="472"/>
      <c r="AF105" s="472"/>
      <c r="AG105" s="472"/>
      <c r="AH105" s="472"/>
      <c r="AI105" s="472"/>
      <c r="AJ105" s="472"/>
      <c r="AK105" s="472"/>
      <c r="AL105" s="472"/>
      <c r="AM105" s="472"/>
      <c r="AN105" s="472"/>
      <c r="AO105" s="472"/>
      <c r="AP105" s="472"/>
      <c r="AQ105" s="472"/>
      <c r="AR105" s="472"/>
      <c r="AS105" s="472"/>
      <c r="AT105" s="472"/>
      <c r="AU105" s="472"/>
      <c r="AV105" s="472"/>
    </row>
    <row r="106" spans="25:48" ht="12.75">
      <c r="Y106" s="472"/>
      <c r="Z106" s="475"/>
      <c r="AA106" s="475"/>
      <c r="AB106" s="475"/>
      <c r="AC106" s="475"/>
      <c r="AD106" s="475"/>
      <c r="AE106" s="472"/>
      <c r="AF106" s="472"/>
      <c r="AG106" s="472"/>
      <c r="AH106" s="472"/>
      <c r="AI106" s="472"/>
      <c r="AJ106" s="472"/>
      <c r="AK106" s="472"/>
      <c r="AL106" s="472"/>
      <c r="AM106" s="472"/>
      <c r="AN106" s="472"/>
      <c r="AO106" s="472"/>
      <c r="AP106" s="472"/>
      <c r="AQ106" s="472"/>
      <c r="AR106" s="472"/>
      <c r="AS106" s="472"/>
      <c r="AT106" s="472"/>
      <c r="AU106" s="472"/>
      <c r="AV106" s="472"/>
    </row>
    <row r="107" spans="25:48" ht="12.75">
      <c r="Y107" s="472"/>
      <c r="Z107" s="475"/>
      <c r="AA107" s="475"/>
      <c r="AB107" s="475"/>
      <c r="AC107" s="475"/>
      <c r="AD107" s="475"/>
      <c r="AE107" s="472"/>
      <c r="AF107" s="472"/>
      <c r="AG107" s="472"/>
      <c r="AH107" s="472"/>
      <c r="AI107" s="472"/>
      <c r="AJ107" s="472"/>
      <c r="AK107" s="472"/>
      <c r="AL107" s="472"/>
      <c r="AM107" s="472"/>
      <c r="AN107" s="472"/>
      <c r="AO107" s="472"/>
      <c r="AP107" s="472"/>
      <c r="AQ107" s="472"/>
      <c r="AR107" s="472"/>
      <c r="AS107" s="472"/>
      <c r="AT107" s="472"/>
      <c r="AU107" s="472"/>
      <c r="AV107" s="472"/>
    </row>
    <row r="108" spans="25:48" ht="13.5" thickBot="1">
      <c r="Y108" s="472"/>
      <c r="Z108" s="464" t="str">
        <f>""&amp;F5&amp;"@"&amp;AA74&amp;""</f>
        <v>MTBE@MW-2</v>
      </c>
      <c r="AA108" s="475"/>
      <c r="AB108" s="475"/>
      <c r="AC108" s="475"/>
      <c r="AD108" s="475"/>
      <c r="AE108" s="472"/>
      <c r="AF108" s="472"/>
      <c r="AG108" s="472"/>
      <c r="AH108" s="472"/>
      <c r="AI108" s="472"/>
      <c r="AJ108" s="472"/>
      <c r="AK108" s="472"/>
      <c r="AL108" s="472"/>
      <c r="AM108" s="472"/>
      <c r="AN108" s="472"/>
      <c r="AO108" s="472"/>
      <c r="AP108" s="472"/>
      <c r="AQ108" s="472"/>
      <c r="AR108" s="472"/>
      <c r="AS108" s="472"/>
      <c r="AT108" s="472"/>
      <c r="AU108" s="472"/>
      <c r="AV108" s="472"/>
    </row>
    <row r="109" spans="25:48" ht="12.75">
      <c r="Y109" s="472"/>
      <c r="Z109" s="482" t="s">
        <v>284</v>
      </c>
      <c r="AA109" s="483"/>
      <c r="AB109" s="484"/>
      <c r="AC109" s="475"/>
      <c r="AD109" s="475"/>
      <c r="AE109" s="472"/>
      <c r="AF109" s="472"/>
      <c r="AG109" s="472"/>
      <c r="AH109" s="472"/>
      <c r="AI109" s="472"/>
      <c r="AJ109" s="472"/>
      <c r="AK109" s="472"/>
      <c r="AL109" s="472"/>
      <c r="AM109" s="472"/>
      <c r="AN109" s="472"/>
      <c r="AO109" s="472"/>
      <c r="AP109" s="472"/>
      <c r="AQ109" s="472"/>
      <c r="AR109" s="472"/>
      <c r="AS109" s="472"/>
      <c r="AT109" s="472"/>
      <c r="AU109" s="472"/>
      <c r="AV109" s="472"/>
    </row>
    <row r="110" spans="25:48" ht="13.5" thickBot="1">
      <c r="Y110" s="472"/>
      <c r="Z110" s="490"/>
      <c r="AA110" s="475"/>
      <c r="AB110" s="491"/>
      <c r="AC110" s="475"/>
      <c r="AD110" s="475"/>
      <c r="AE110" s="472"/>
      <c r="AF110" s="472"/>
      <c r="AG110" s="472"/>
      <c r="AH110" s="472"/>
      <c r="AI110" s="472"/>
      <c r="AJ110" s="472"/>
      <c r="AK110" s="472"/>
      <c r="AL110" s="472"/>
      <c r="AM110" s="472"/>
      <c r="AN110" s="472"/>
      <c r="AO110" s="472"/>
      <c r="AP110" s="472"/>
      <c r="AQ110" s="472"/>
      <c r="AR110" s="472"/>
      <c r="AS110" s="472"/>
      <c r="AT110" s="472"/>
      <c r="AU110" s="472"/>
      <c r="AV110" s="472"/>
    </row>
    <row r="111" spans="25:48" ht="12.75">
      <c r="Y111" s="472"/>
      <c r="Z111" s="496"/>
      <c r="AA111" s="497"/>
      <c r="AB111" s="498"/>
      <c r="AC111" s="475"/>
      <c r="AD111" s="475"/>
      <c r="AE111" s="472"/>
      <c r="AF111" s="472"/>
      <c r="AG111" s="472"/>
      <c r="AH111" s="472"/>
      <c r="AI111" s="472"/>
      <c r="AJ111" s="472"/>
      <c r="AK111" s="472"/>
      <c r="AL111" s="472"/>
      <c r="AM111" s="472"/>
      <c r="AN111" s="472"/>
      <c r="AO111" s="472"/>
      <c r="AP111" s="472"/>
      <c r="AQ111" s="472"/>
      <c r="AR111" s="472"/>
      <c r="AS111" s="472"/>
      <c r="AT111" s="472"/>
      <c r="AU111" s="472"/>
      <c r="AV111" s="472"/>
    </row>
    <row r="112" spans="25:48" ht="12.75">
      <c r="Y112" s="472"/>
      <c r="Z112" s="490"/>
      <c r="AA112" s="475"/>
      <c r="AB112" s="491"/>
      <c r="AC112" s="475"/>
      <c r="AD112" s="475"/>
      <c r="AE112" s="472"/>
      <c r="AF112" s="472"/>
      <c r="AG112" s="472"/>
      <c r="AH112" s="472"/>
      <c r="AI112" s="472"/>
      <c r="AJ112" s="472"/>
      <c r="AK112" s="472"/>
      <c r="AL112" s="472"/>
      <c r="AM112" s="472"/>
      <c r="AN112" s="472"/>
      <c r="AO112" s="472"/>
      <c r="AP112" s="472"/>
      <c r="AQ112" s="472"/>
      <c r="AR112" s="472"/>
      <c r="AS112" s="472"/>
      <c r="AT112" s="472"/>
      <c r="AU112" s="472"/>
      <c r="AV112" s="472"/>
    </row>
    <row r="113" spans="25:48" ht="12.75">
      <c r="Y113" s="472"/>
      <c r="Z113" s="490"/>
      <c r="AA113" s="475" t="s">
        <v>152</v>
      </c>
      <c r="AB113" s="491"/>
      <c r="AC113" s="475"/>
      <c r="AD113" s="475"/>
      <c r="AE113" s="472"/>
      <c r="AF113" s="472"/>
      <c r="AG113" s="472"/>
      <c r="AH113" s="472"/>
      <c r="AI113" s="472"/>
      <c r="AJ113" s="472"/>
      <c r="AK113" s="472"/>
      <c r="AL113" s="472"/>
      <c r="AM113" s="472"/>
      <c r="AN113" s="472"/>
      <c r="AO113" s="472"/>
      <c r="AP113" s="472"/>
      <c r="AQ113" s="472"/>
      <c r="AR113" s="472"/>
      <c r="AS113" s="472"/>
      <c r="AT113" s="472"/>
      <c r="AU113" s="472"/>
      <c r="AV113" s="472"/>
    </row>
    <row r="114" spans="25:48" ht="12.75">
      <c r="Y114" s="472"/>
      <c r="Z114" s="490" t="s">
        <v>15</v>
      </c>
      <c r="AA114" s="475" t="str">
        <f>Graphical_prest!E11</f>
        <v>MW-2</v>
      </c>
      <c r="AB114" s="491" t="s">
        <v>385</v>
      </c>
      <c r="AC114" s="475"/>
      <c r="AD114" s="475"/>
      <c r="AE114" s="985" t="str">
        <f>"Contaminant @CL="&amp;AA139&amp;""</f>
        <v>Contaminant @CL=0.85</v>
      </c>
      <c r="AF114" s="472"/>
      <c r="AG114" s="472"/>
      <c r="AH114" s="472"/>
      <c r="AI114" s="472"/>
      <c r="AJ114" s="472"/>
      <c r="AK114" s="472"/>
      <c r="AL114" s="472"/>
      <c r="AM114" s="472"/>
      <c r="AN114" s="472"/>
      <c r="AO114" s="472"/>
      <c r="AP114" s="472"/>
      <c r="AQ114" s="472"/>
      <c r="AR114" s="472"/>
      <c r="AS114" s="472"/>
      <c r="AT114" s="472"/>
      <c r="AU114" s="472"/>
      <c r="AV114" s="472"/>
    </row>
    <row r="115" spans="25:48" ht="12.75">
      <c r="Y115" s="472"/>
      <c r="Z115" s="510">
        <f>IF(ISBLANK(F18),#N/A,G18)</f>
        <v>0</v>
      </c>
      <c r="AA115" s="511">
        <f>IF(ISBLANK(HLOOKUP($AA$74,$H$9:$W$37,10,FALSE)),#N/A,HLOOKUP($AA$74,$H$9:$W$37,10,FALSE))</f>
        <v>4260</v>
      </c>
      <c r="AB115" s="512" t="e">
        <f>IF(ISBLANK(HLOOKUP($AB$74,$H$9:$W$67,36,FALSE)),#N/A,HLOOKUP($AB$74,$H$9:$W$67,36,FALSE))</f>
        <v>#N/A</v>
      </c>
      <c r="AC115" s="475">
        <v>36</v>
      </c>
      <c r="AD115" s="475"/>
      <c r="AE115" s="472">
        <f>IF($AA$145&lt;0,AA147,"NA")</f>
        <v>9339.906737168883</v>
      </c>
      <c r="AF115" s="475">
        <f>Z115</f>
        <v>0</v>
      </c>
      <c r="AG115" s="472"/>
      <c r="AH115" s="472"/>
      <c r="AI115" s="472"/>
      <c r="AJ115" s="472"/>
      <c r="AK115" s="472"/>
      <c r="AL115" s="472"/>
      <c r="AM115" s="472"/>
      <c r="AN115" s="472"/>
      <c r="AO115" s="472"/>
      <c r="AP115" s="472"/>
      <c r="AQ115" s="472"/>
      <c r="AR115" s="472"/>
      <c r="AS115" s="472"/>
      <c r="AT115" s="472"/>
      <c r="AU115" s="472"/>
      <c r="AV115" s="472"/>
    </row>
    <row r="116" spans="25:48" ht="12.75">
      <c r="Y116" s="472"/>
      <c r="Z116" s="510">
        <f aca="true" t="shared" si="14" ref="Z116:Z134">IF(AND(ISERROR(AA76),ISERROR(AB76)),#N/A,IF(ISBLANK(F19),#N/A,G19))</f>
        <v>60</v>
      </c>
      <c r="AA116" s="511">
        <f>IF(ISBLANK(HLOOKUP($AA$74,$H$9:$W$37,11,FALSE)),#N/A,HLOOKUP($AA$74,$H$9:$W$37,11,FALSE))</f>
        <v>5600</v>
      </c>
      <c r="AB116" s="512" t="e">
        <f>IF(ISBLANK(HLOOKUP($AB$74,$H$9:$W$67,37,FALSE)),#N/A,HLOOKUP($AB$74,$H$9:$W$67,37,FALSE))</f>
        <v>#N/A</v>
      </c>
      <c r="AC116" s="475">
        <v>37</v>
      </c>
      <c r="AD116" s="475"/>
      <c r="AE116" s="472">
        <f aca="true" t="shared" si="15" ref="AE116:AE134">IF($AA$145&lt;0,$AE$115*EXP(-$AA$142/365*AF116),"NA")</f>
        <v>8038.730486321219</v>
      </c>
      <c r="AF116" s="475">
        <f aca="true" t="shared" si="16" ref="AF116:AF128">Z116</f>
        <v>60</v>
      </c>
      <c r="AG116" s="472"/>
      <c r="AH116" s="472"/>
      <c r="AI116" s="472"/>
      <c r="AJ116" s="472"/>
      <c r="AK116" s="472"/>
      <c r="AL116" s="472"/>
      <c r="AM116" s="472"/>
      <c r="AN116" s="472"/>
      <c r="AO116" s="472"/>
      <c r="AP116" s="472"/>
      <c r="AQ116" s="472"/>
      <c r="AR116" s="472"/>
      <c r="AS116" s="472"/>
      <c r="AT116" s="472"/>
      <c r="AU116" s="472"/>
      <c r="AV116" s="472"/>
    </row>
    <row r="117" spans="25:48" ht="12.75">
      <c r="Y117" s="472"/>
      <c r="Z117" s="510">
        <f t="shared" si="14"/>
        <v>189</v>
      </c>
      <c r="AA117" s="511">
        <f>IF(ISBLANK(HLOOKUP($AA$74,$H$9:$W$37,12,FALSE)),#N/A,HLOOKUP($AA$74,$H$9:$W$37,12,FALSE))</f>
        <v>4500</v>
      </c>
      <c r="AB117" s="512" t="str">
        <f>IF(ISBLANK(HLOOKUP($AB$74,$H$9:$W$67,38,FALSE)),#N/A,HLOOKUP($AB$74,$H$9:$W$67,38,FALSE))</f>
        <v>MW-2</v>
      </c>
      <c r="AC117" s="475">
        <v>38</v>
      </c>
      <c r="AD117" s="475"/>
      <c r="AE117" s="472">
        <f t="shared" si="15"/>
        <v>5822.427173359587</v>
      </c>
      <c r="AF117" s="475">
        <f t="shared" si="16"/>
        <v>189</v>
      </c>
      <c r="AG117" s="472"/>
      <c r="AH117" s="472"/>
      <c r="AI117" s="472"/>
      <c r="AJ117" s="472"/>
      <c r="AK117" s="472"/>
      <c r="AL117" s="472"/>
      <c r="AM117" s="472"/>
      <c r="AN117" s="472"/>
      <c r="AO117" s="472"/>
      <c r="AP117" s="472"/>
      <c r="AQ117" s="472"/>
      <c r="AR117" s="472"/>
      <c r="AS117" s="472"/>
      <c r="AT117" s="472"/>
      <c r="AU117" s="472"/>
      <c r="AV117" s="472"/>
    </row>
    <row r="118" spans="25:48" ht="12.75">
      <c r="Y118" s="472"/>
      <c r="Z118" s="510">
        <f t="shared" si="14"/>
        <v>560</v>
      </c>
      <c r="AA118" s="511">
        <f>IF(ISBLANK(HLOOKUP($AA$74,$H$9:$W$37,13,FALSE)),#N/A,HLOOKUP($AA$74,$H$9:$W$37,13,FALSE))</f>
        <v>2200</v>
      </c>
      <c r="AB118" s="512" t="e">
        <f>IF(ISBLANK(HLOOKUP($AB$74,$H$9:$W$67,39,FALSE)),#N/A,HLOOKUP($AB$74,$H$9:$W$67,39,FALSE))</f>
        <v>#N/A</v>
      </c>
      <c r="AC118" s="475">
        <v>39</v>
      </c>
      <c r="AD118" s="475"/>
      <c r="AE118" s="472">
        <f t="shared" si="15"/>
        <v>2302.6532356835564</v>
      </c>
      <c r="AF118" s="475">
        <f t="shared" si="16"/>
        <v>560</v>
      </c>
      <c r="AG118" s="472"/>
      <c r="AH118" s="472"/>
      <c r="AI118" s="472"/>
      <c r="AJ118" s="472"/>
      <c r="AK118" s="472"/>
      <c r="AL118" s="472"/>
      <c r="AM118" s="472"/>
      <c r="AN118" s="472"/>
      <c r="AO118" s="472"/>
      <c r="AP118" s="472"/>
      <c r="AQ118" s="472"/>
      <c r="AR118" s="472"/>
      <c r="AS118" s="472"/>
      <c r="AT118" s="472"/>
      <c r="AU118" s="472"/>
      <c r="AV118" s="472"/>
    </row>
    <row r="119" spans="25:48" ht="12.75">
      <c r="Y119" s="472"/>
      <c r="Z119" s="510">
        <f t="shared" si="14"/>
        <v>1162</v>
      </c>
      <c r="AA119" s="511" t="e">
        <f>IF(ISBLANK(HLOOKUP($AA$74,$H$9:$W$37,14,FALSE)),#N/A,HLOOKUP($AA$74,$H$9:$W$37,14,FALSE))</f>
        <v>#N/A</v>
      </c>
      <c r="AB119" s="512">
        <f>IF(ISBLANK(HLOOKUP($AB$74,$H$9:$W$67,40,FALSE)),#N/A,HLOOKUP($AB$74,$H$9:$W$67,40,FALSE))</f>
        <v>92.41</v>
      </c>
      <c r="AC119" s="475">
        <v>40</v>
      </c>
      <c r="AD119" s="475"/>
      <c r="AE119" s="472">
        <f t="shared" si="15"/>
        <v>511.1001312676461</v>
      </c>
      <c r="AF119" s="475">
        <f t="shared" si="16"/>
        <v>1162</v>
      </c>
      <c r="AG119" s="472"/>
      <c r="AH119" s="472"/>
      <c r="AI119" s="472"/>
      <c r="AJ119" s="472"/>
      <c r="AK119" s="472"/>
      <c r="AL119" s="472"/>
      <c r="AM119" s="472"/>
      <c r="AN119" s="472"/>
      <c r="AO119" s="472"/>
      <c r="AP119" s="472"/>
      <c r="AQ119" s="472"/>
      <c r="AR119" s="472"/>
      <c r="AS119" s="472"/>
      <c r="AT119" s="472"/>
      <c r="AU119" s="472"/>
      <c r="AV119" s="472"/>
    </row>
    <row r="120" spans="25:33" ht="12.75">
      <c r="Y120" s="472"/>
      <c r="Z120" s="510">
        <f t="shared" si="14"/>
        <v>1247</v>
      </c>
      <c r="AA120" s="511">
        <f>IF(ISBLANK(HLOOKUP($AA$74,$H$9:$W$37,15,FALSE)),#N/A,HLOOKUP($AA$74,$H$9:$W$37,15,FALSE))</f>
        <v>890</v>
      </c>
      <c r="AB120" s="512">
        <f>IF(ISBLANK(HLOOKUP($AB$74,$H$9:$W$67,41,FALSE)),#N/A,HLOOKUP($AB$74,$H$9:$W$67,41,FALSE))</f>
        <v>91.34</v>
      </c>
      <c r="AC120" s="475">
        <v>41</v>
      </c>
      <c r="AD120" s="475"/>
      <c r="AE120" s="472">
        <f t="shared" si="15"/>
        <v>413.2405918225776</v>
      </c>
      <c r="AF120" s="475">
        <f t="shared" si="16"/>
        <v>1247</v>
      </c>
      <c r="AG120" s="472"/>
    </row>
    <row r="121" spans="25:33" ht="12" customHeight="1">
      <c r="Y121" s="472"/>
      <c r="Z121" s="510">
        <f t="shared" si="14"/>
        <v>1336</v>
      </c>
      <c r="AA121" s="511">
        <f>IF(ISBLANK(HLOOKUP($AA$74,$H$9:$W$37,16,FALSE)),#N/A,HLOOKUP($AA$74,$H$9:$W$37,16,FALSE))</f>
        <v>378</v>
      </c>
      <c r="AB121" s="512">
        <f>IF(ISBLANK(HLOOKUP($AB$74,$H$9:$W$67,42,FALSE)),#N/A,HLOOKUP($AB$74,$H$9:$W$67,42,FALSE))</f>
        <v>92.2</v>
      </c>
      <c r="AC121" s="475">
        <v>42</v>
      </c>
      <c r="AD121" s="475"/>
      <c r="AE121" s="472">
        <f t="shared" si="15"/>
        <v>330.79298097808163</v>
      </c>
      <c r="AF121" s="475">
        <f t="shared" si="16"/>
        <v>1336</v>
      </c>
      <c r="AG121" s="472"/>
    </row>
    <row r="122" spans="25:33" ht="12.75">
      <c r="Y122" s="472"/>
      <c r="Z122" s="510">
        <f t="shared" si="14"/>
        <v>1732</v>
      </c>
      <c r="AA122" s="511">
        <f>IF(ISBLANK(HLOOKUP($AA$74,$H$9:$W$37,17,FALSE)),#N/A,HLOOKUP($AA$74,$H$9:$W$37,17,FALSE))</f>
        <v>456</v>
      </c>
      <c r="AB122" s="512">
        <f>IF(ISBLANK(HLOOKUP($AB$74,$H$9:$W$67,43,FALSE)),#N/A,HLOOKUP($AB$74,$H$9:$W$67,43,FALSE))</f>
        <v>92.22</v>
      </c>
      <c r="AC122" s="475">
        <v>43</v>
      </c>
      <c r="AD122" s="475"/>
      <c r="AE122" s="472">
        <f t="shared" si="15"/>
        <v>122.89460423311432</v>
      </c>
      <c r="AF122" s="475">
        <f t="shared" si="16"/>
        <v>1732</v>
      </c>
      <c r="AG122" s="472"/>
    </row>
    <row r="123" spans="25:32" ht="12.75">
      <c r="Y123" s="472"/>
      <c r="Z123" s="510">
        <f t="shared" si="14"/>
        <v>1841</v>
      </c>
      <c r="AA123" s="511">
        <f>IF(ISBLANK(HLOOKUP($AA$74,$H$9:$W$37,18,FALSE)),#N/A,HLOOKUP($AA$74,$H$9:$W$37,18,FALSE))</f>
        <v>78</v>
      </c>
      <c r="AB123" s="512">
        <f>IF(ISBLANK(HLOOKUP($AB$74,$H$9:$W$67,44,FALSE)),#N/A,HLOOKUP($AB$74,$H$9:$W$67,44,FALSE))</f>
        <v>92.23</v>
      </c>
      <c r="AC123" s="475">
        <v>44</v>
      </c>
      <c r="AE123" s="472">
        <f t="shared" si="15"/>
        <v>93.57670937622765</v>
      </c>
      <c r="AF123" s="475">
        <f t="shared" si="16"/>
        <v>1841</v>
      </c>
    </row>
    <row r="124" spans="25:32" ht="12.75">
      <c r="Y124" s="472"/>
      <c r="Z124" s="510">
        <f t="shared" si="14"/>
        <v>1959</v>
      </c>
      <c r="AA124" s="511">
        <f>IF(ISBLANK(HLOOKUP($AA$74,$H$9:$W$37,19,FALSE)),#N/A,HLOOKUP($AA$74,$H$9:$W$37,19,FALSE))</f>
        <v>22</v>
      </c>
      <c r="AB124" s="512">
        <f>IF(ISBLANK(HLOOKUP($AB$74,$H$9:$W$67,45,FALSE)),#N/A,HLOOKUP($AB$74,$H$9:$W$67,45,FALSE))</f>
        <v>91.39</v>
      </c>
      <c r="AC124" s="475">
        <v>45</v>
      </c>
      <c r="AE124" s="472">
        <f t="shared" si="15"/>
        <v>69.66737744944128</v>
      </c>
      <c r="AF124" s="475">
        <f t="shared" si="16"/>
        <v>1959</v>
      </c>
    </row>
    <row r="125" spans="25:32" ht="12.75">
      <c r="Y125" s="472"/>
      <c r="Z125" s="510">
        <f t="shared" si="14"/>
        <v>2016</v>
      </c>
      <c r="AA125" s="511">
        <f>IF(ISBLANK(HLOOKUP($AA$74,$H$9:$W$37,20,FALSE)),#N/A,HLOOKUP($AA$74,$H$9:$W$37,20,FALSE))</f>
        <v>8</v>
      </c>
      <c r="AB125" s="512">
        <f>IF(ISBLANK(HLOOKUP($AB$74,$H$9:$W$67,46,FALSE)),#N/A,HLOOKUP($AB$74,$H$9:$W$67,46,FALSE))</f>
        <v>92.25</v>
      </c>
      <c r="AC125" s="475">
        <v>46</v>
      </c>
      <c r="AE125" s="472">
        <f t="shared" si="15"/>
        <v>60.41324233072406</v>
      </c>
      <c r="AF125" s="475">
        <f t="shared" si="16"/>
        <v>2016</v>
      </c>
    </row>
    <row r="126" spans="25:32" ht="12.75">
      <c r="Y126" s="472"/>
      <c r="Z126" s="510">
        <f t="shared" si="14"/>
        <v>2105</v>
      </c>
      <c r="AA126" s="511">
        <f>IF(ISBLANK(HLOOKUP($AA$74,$H$9:$W$37,21,FALSE)),#N/A,HLOOKUP($AA$74,$H$9:$W$37,21,FALSE))</f>
        <v>12</v>
      </c>
      <c r="AB126" s="512">
        <f>IF(ISBLANK(HLOOKUP($AB$74,$H$9:$W$67,47,FALSE)),#N/A,HLOOKUP($AB$74,$H$9:$W$67,47,FALSE))</f>
        <v>91.92</v>
      </c>
      <c r="AC126" s="475">
        <v>47</v>
      </c>
      <c r="AE126" s="472">
        <f t="shared" si="15"/>
        <v>48.35990683536618</v>
      </c>
      <c r="AF126" s="475">
        <f t="shared" si="16"/>
        <v>2105</v>
      </c>
    </row>
    <row r="127" spans="25:32" ht="12.75">
      <c r="Y127" s="472"/>
      <c r="Z127" s="510">
        <f t="shared" si="14"/>
        <v>2180</v>
      </c>
      <c r="AA127" s="511">
        <f>IF(ISBLANK(HLOOKUP($AA$74,$H$9:$W$37,22,FALSE)),#N/A,HLOOKUP($AA$74,$H$9:$W$37,22,FALSE))</f>
        <v>5</v>
      </c>
      <c r="AB127" s="512">
        <f>IF(ISBLANK(HLOOKUP($AB$74,$H$9:$W$67,48,FALSE)),#N/A,HLOOKUP($AB$74,$H$9:$W$67,48,FALSE))</f>
        <v>91.09</v>
      </c>
      <c r="AC127" s="475">
        <v>48</v>
      </c>
      <c r="AE127" s="472">
        <f t="shared" si="15"/>
        <v>40.0905132666499</v>
      </c>
      <c r="AF127" s="475">
        <f t="shared" si="16"/>
        <v>2180</v>
      </c>
    </row>
    <row r="128" spans="25:32" ht="12.75">
      <c r="Y128" s="472"/>
      <c r="Z128" s="510" t="e">
        <f t="shared" si="14"/>
        <v>#N/A</v>
      </c>
      <c r="AA128" s="511" t="e">
        <f>IF(ISBLANK(HLOOKUP($AA$74,$H$9:$W$37,23,FALSE)),#N/A,HLOOKUP($AA$74,$H$9:$W$37,23,FALSE))</f>
        <v>#N/A</v>
      </c>
      <c r="AB128" s="512">
        <f>IF(ISBLANK(HLOOKUP($AB$74,$H$9:$W$67,49,FALSE)),#N/A,HLOOKUP($AB$74,$H$9:$W$67,49,FALSE))</f>
        <v>91.85</v>
      </c>
      <c r="AC128" s="475">
        <v>49</v>
      </c>
      <c r="AE128" s="472" t="e">
        <f t="shared" si="15"/>
        <v>#N/A</v>
      </c>
      <c r="AF128" s="475" t="e">
        <f t="shared" si="16"/>
        <v>#N/A</v>
      </c>
    </row>
    <row r="129" spans="25:32" ht="12.75">
      <c r="Y129" s="472"/>
      <c r="Z129" s="510" t="e">
        <f t="shared" si="14"/>
        <v>#N/A</v>
      </c>
      <c r="AA129" s="511" t="e">
        <f>IF(ISBLANK(HLOOKUP($AA$74,$H$9:$W$37,24,FALSE)),#N/A,HLOOKUP($AA$74,$H$9:$W$37,24,FALSE))</f>
        <v>#N/A</v>
      </c>
      <c r="AB129" s="512">
        <f>IF(ISBLANK(HLOOKUP($AB$74,$H$9:$W$67,50,FALSE)),#N/A,HLOOKUP($AB$74,$H$9:$W$67,50,FALSE))</f>
        <v>92.42</v>
      </c>
      <c r="AC129" s="475">
        <v>50</v>
      </c>
      <c r="AE129" s="472" t="e">
        <f t="shared" si="15"/>
        <v>#N/A</v>
      </c>
      <c r="AF129" s="475" t="e">
        <f aca="true" t="shared" si="17" ref="AF129:AF134">Z129</f>
        <v>#N/A</v>
      </c>
    </row>
    <row r="130" spans="25:32" ht="12.75">
      <c r="Y130" s="472"/>
      <c r="Z130" s="510" t="e">
        <f t="shared" si="14"/>
        <v>#N/A</v>
      </c>
      <c r="AA130" s="511" t="e">
        <f>IF(ISBLANK(HLOOKUP($AA$74,$H$9:$W$37,25,FALSE)),#N/A,HLOOKUP($AA$74,$H$9:$W$37,25,FALSE))</f>
        <v>#N/A</v>
      </c>
      <c r="AB130" s="512">
        <f>IF(ISBLANK(HLOOKUP($AB$74,$H$9:$W$67,51,FALSE)),#N/A,HLOOKUP($AB$74,$H$9:$W$67,51,FALSE))</f>
        <v>92.02</v>
      </c>
      <c r="AC130" s="475"/>
      <c r="AE130" s="472" t="e">
        <f t="shared" si="15"/>
        <v>#N/A</v>
      </c>
      <c r="AF130" s="475" t="e">
        <f t="shared" si="17"/>
        <v>#N/A</v>
      </c>
    </row>
    <row r="131" spans="25:32" ht="12.75">
      <c r="Y131" s="472"/>
      <c r="Z131" s="510" t="e">
        <f t="shared" si="14"/>
        <v>#N/A</v>
      </c>
      <c r="AA131" s="511" t="e">
        <f>IF(ISBLANK(HLOOKUP($AA$74,$H$9:$W$37,26,FALSE)),#N/A,HLOOKUP($AA$74,$H$9:$W$37,26,FALSE))</f>
        <v>#N/A</v>
      </c>
      <c r="AB131" s="512">
        <f>IF(ISBLANK(HLOOKUP($AB$74,$H$9:$W$67,52,FALSE)),#N/A,HLOOKUP($AB$74,$H$9:$W$67,52,FALSE))</f>
        <v>92.8</v>
      </c>
      <c r="AC131" s="475"/>
      <c r="AE131" s="472" t="e">
        <f t="shared" si="15"/>
        <v>#N/A</v>
      </c>
      <c r="AF131" s="475" t="e">
        <f t="shared" si="17"/>
        <v>#N/A</v>
      </c>
    </row>
    <row r="132" spans="25:32" ht="12.75">
      <c r="Y132" s="472"/>
      <c r="Z132" s="510" t="e">
        <f t="shared" si="14"/>
        <v>#N/A</v>
      </c>
      <c r="AA132" s="511" t="e">
        <f>IF(ISBLANK(HLOOKUP($AA$74,$H$9:$W$37,27,FALSE)),#N/A,HLOOKUP($AA$74,$H$9:$W$37,27,FALSE))</f>
        <v>#N/A</v>
      </c>
      <c r="AB132" s="512" t="e">
        <f>IF(ISBLANK(HLOOKUP($AB$74,$H$9:$W$67,53,FALSE)),#N/A,HLOOKUP($AB$74,$H$9:$W$67,53,FALSE))</f>
        <v>#N/A</v>
      </c>
      <c r="AC132" s="475"/>
      <c r="AE132" s="472" t="e">
        <f t="shared" si="15"/>
        <v>#N/A</v>
      </c>
      <c r="AF132" s="475" t="e">
        <f t="shared" si="17"/>
        <v>#N/A</v>
      </c>
    </row>
    <row r="133" spans="25:32" ht="12.75">
      <c r="Y133" s="472"/>
      <c r="Z133" s="510" t="e">
        <f t="shared" si="14"/>
        <v>#N/A</v>
      </c>
      <c r="AA133" s="511" t="e">
        <f>IF(ISBLANK(HLOOKUP($AA$74,$H$9:$W$37,28,FALSE)),#N/A,HLOOKUP($AA$74,$H$9:$W$37,28,FALSE))</f>
        <v>#N/A</v>
      </c>
      <c r="AB133" s="512" t="e">
        <f>IF(ISBLANK(HLOOKUP($AB$74,$H$9:$W$67,54,FALSE)),#N/A,HLOOKUP($AB$74,$H$9:$W$67,54,FALSE))</f>
        <v>#N/A</v>
      </c>
      <c r="AC133" s="475"/>
      <c r="AE133" s="472" t="e">
        <f t="shared" si="15"/>
        <v>#N/A</v>
      </c>
      <c r="AF133" s="475" t="e">
        <f t="shared" si="17"/>
        <v>#N/A</v>
      </c>
    </row>
    <row r="134" spans="25:32" ht="12.75">
      <c r="Y134" s="472"/>
      <c r="Z134" s="510" t="e">
        <f t="shared" si="14"/>
        <v>#N/A</v>
      </c>
      <c r="AA134" s="511" t="e">
        <f>IF(ISBLANK(HLOOKUP($AA$74,$H$9:$W$37,29,FALSE)),#N/A,HLOOKUP($AA$74,$H$9:$W$37,29,FALSE))</f>
        <v>#N/A</v>
      </c>
      <c r="AB134" s="512" t="e">
        <f>IF(ISBLANK(HLOOKUP($AB$74,$H$9:$W$67,55,FALSE)),#N/A,HLOOKUP($AB$74,$H$9:$W$67,55,FALSE))</f>
        <v>#N/A</v>
      </c>
      <c r="AC134" s="475">
        <v>51</v>
      </c>
      <c r="AE134" s="472" t="e">
        <f t="shared" si="15"/>
        <v>#N/A</v>
      </c>
      <c r="AF134" s="475" t="e">
        <f t="shared" si="17"/>
        <v>#N/A</v>
      </c>
    </row>
    <row r="135" spans="25:29" ht="13.5" thickBot="1">
      <c r="Y135" s="472"/>
      <c r="Z135" s="490"/>
      <c r="AA135" s="524"/>
      <c r="AB135" s="491"/>
      <c r="AC135" s="475"/>
    </row>
    <row r="136" spans="25:29" ht="13.5" thickBot="1">
      <c r="Y136" s="472"/>
      <c r="Z136" s="526" t="s">
        <v>175</v>
      </c>
      <c r="AA136" s="984">
        <f>IF(ISERROR(HLOOKUP($AA$74,$H$9:$W$46,34,FALSE)),#N/A,HLOOKUP($AA$74,$H$9:$W$46,34,FALSE))</f>
        <v>0.9999869873715387</v>
      </c>
      <c r="AB136" s="527"/>
      <c r="AC136" s="475"/>
    </row>
    <row r="137" spans="25:29" ht="13.5" thickBot="1">
      <c r="Y137" s="472"/>
      <c r="Z137" s="526" t="s">
        <v>304</v>
      </c>
      <c r="AA137" s="529" t="str">
        <f>IF(ISERROR(AA95),#N/A,HLOOKUP($AA$74,AtteuationRate_calc!H183:W191,8,FALSE))</f>
        <v>Shrinking</v>
      </c>
      <c r="AB137" s="527"/>
      <c r="AC137" s="475"/>
    </row>
    <row r="138" spans="26:29" ht="12.75">
      <c r="Z138" s="475"/>
      <c r="AA138" s="475"/>
      <c r="AB138" s="475"/>
      <c r="AC138" s="475"/>
    </row>
    <row r="139" spans="26:29" ht="12.75">
      <c r="Z139" s="475" t="s">
        <v>387</v>
      </c>
      <c r="AA139" s="986">
        <f>sigLvl_graph</f>
        <v>0.85</v>
      </c>
      <c r="AB139" s="475"/>
      <c r="AC139" s="475"/>
    </row>
    <row r="140" spans="26:29" ht="12.75">
      <c r="Z140" s="661" t="s">
        <v>356</v>
      </c>
      <c r="AA140" s="681">
        <f>IF(ISERROR(AA95),#N/A,HLOOKUP($AA$74,Temporal_Analysis!G10:V68,55,FALSE))</f>
        <v>1.058173503422286</v>
      </c>
      <c r="AB140" s="475"/>
      <c r="AC140" s="475"/>
    </row>
    <row r="141" spans="26:29" ht="12.75">
      <c r="Z141" s="661"/>
      <c r="AA141" s="681"/>
      <c r="AB141" s="475"/>
      <c r="AC141" s="475"/>
    </row>
    <row r="142" spans="26:29" ht="12.75">
      <c r="Z142" s="661" t="s">
        <v>357</v>
      </c>
      <c r="AA142" s="681">
        <f>IF(ISERROR(AA95),#N/A,HLOOKUP($AA$74,AtteuationRate_calc!H183:W191,9,FALSE))</f>
        <v>0.9126526665118497</v>
      </c>
      <c r="AB142" s="475"/>
      <c r="AC142" s="475"/>
    </row>
    <row r="143" spans="26:29" ht="12.75">
      <c r="Z143" s="475" t="s">
        <v>358</v>
      </c>
      <c r="AA143" s="681">
        <f>IF(ISERROR(AA95),#N/A,HLOOKUP($AA$74,Temporal_Analysis!G10:V68,56,FALSE))</f>
        <v>0.9126526665118497</v>
      </c>
      <c r="AB143" s="475"/>
      <c r="AC143" s="475"/>
    </row>
    <row r="144" spans="26:29" ht="12.75">
      <c r="Z144" s="475" t="s">
        <v>359</v>
      </c>
      <c r="AA144" s="681">
        <f>IF(ISERROR(AA95),#N/A,HLOOKUP($AA$74,AtteuationRate_calc!H183:W192,10,FALSE))</f>
        <v>0.759486282124335</v>
      </c>
      <c r="AB144" s="475"/>
      <c r="AC144" s="475"/>
    </row>
    <row r="145" spans="26:27" ht="12.75">
      <c r="Z145" s="464" t="s">
        <v>24</v>
      </c>
      <c r="AA145" s="464">
        <f>IF(ISERROR(AA95),#N/A,HLOOKUP($AA$74,AtteuationRate_calc!H183:W194,12,FALSE))</f>
        <v>-0.9285319314450703</v>
      </c>
    </row>
    <row r="146" spans="26:27" ht="12.75">
      <c r="Z146" s="464" t="s">
        <v>388</v>
      </c>
      <c r="AA146" s="464" t="str">
        <f>IF(ISERROR(AA95),#N/A,HLOOKUP($AA$74,AtteuationRate_calc!H183:W194,7,FALSE))</f>
        <v>YES!</v>
      </c>
    </row>
    <row r="147" spans="26:27" ht="12.75">
      <c r="Z147" s="464" t="s">
        <v>294</v>
      </c>
      <c r="AA147" s="464">
        <f>IF(ISERROR(AA95),#N/A,HLOOKUP($AA$74,AtteuationRate_calc!H183:W194,11,FALSE))</f>
        <v>9339.906737168883</v>
      </c>
    </row>
  </sheetData>
  <sheetProtection/>
  <printOptions horizontalCentered="1" verticalCentered="1"/>
  <pageMargins left="0.44" right="0.19" top="0.33" bottom="0.1" header="0.18" footer="0.24"/>
  <pageSetup blackAndWhite="1" fitToHeight="1" fitToWidth="1" horizontalDpi="600" verticalDpi="600" orientation="landscape" scale="78" r:id="rId4"/>
  <headerFooter alignWithMargins="0">
    <oddHeader>&amp;L&amp;8Washington State Department of Ecology: TCP program&amp;R&amp;8&amp;D</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Package A: Natural Attenuation Analysis Tools</dc:title>
  <dc:subject>Natural Attenuation Modelling</dc:subject>
  <dc:creator>Hun Seak Park, Washington State DOE</dc:creator>
  <cp:keywords/>
  <dc:description/>
  <cp:lastModifiedBy>hpar461</cp:lastModifiedBy>
  <cp:lastPrinted>2005-07-19T22:10:07Z</cp:lastPrinted>
  <dcterms:created xsi:type="dcterms:W3CDTF">1997-11-03T18:06:40Z</dcterms:created>
  <dcterms:modified xsi:type="dcterms:W3CDTF">2008-09-09T20:25:09Z</dcterms:modified>
  <cp:category/>
  <cp:version/>
  <cp:contentType/>
  <cp:contentStatus/>
</cp:coreProperties>
</file>