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fileSharing readOnlyRecommended="1" userName="Dererie, Debebe (ECY)" algorithmName="SHA-512" hashValue="9mrtWo69UetJF/WvjrXF7Uh0pxBOWsahvUXNyj6O6Xx+QDppIOdSBTTUFMTSyaXr8F7jt3jc6pAaUkivc7f7zw==" saltValue="wFXS4NfKuOEcMaEeuBLrfg==" spinCount="100000"/>
  <workbookPr updateLinks="never" codeName="ThisWorkbook" defaultThemeVersion="124226"/>
  <mc:AlternateContent xmlns:mc="http://schemas.openxmlformats.org/markup-compatibility/2006">
    <mc:Choice Requires="x15">
      <x15ac:absPath xmlns:x15ac="http://schemas.microsoft.com/office/spreadsheetml/2010/11/ac" url="F:\AQ\4_Rachel\Rulemaking\424-455\103\CI Calculation related\"/>
    </mc:Choice>
  </mc:AlternateContent>
  <xr:revisionPtr revIDLastSave="0" documentId="13_ncr:18001_{F6868FAF-8854-4998-8AFE-7063653826DD}" xr6:coauthVersionLast="47" xr6:coauthVersionMax="47" xr10:uidLastSave="{00000000-0000-0000-0000-000000000000}"/>
  <bookViews>
    <workbookView xWindow="28680" yWindow="-120" windowWidth="51840" windowHeight="21240" tabRatio="836" activeTab="1" xr2:uid="{00000000-000D-0000-FFFF-FFFF00000000}"/>
  </bookViews>
  <sheets>
    <sheet name="Intro" sheetId="15" r:id="rId1"/>
    <sheet name="Fuel Blending_2017" sheetId="14" r:id="rId2"/>
    <sheet name="EtOH and BD inputs" sheetId="16" r:id="rId3"/>
  </sheets>
  <externalReferences>
    <externalReference r:id="rId4"/>
    <externalReference r:id="rId5"/>
    <externalReference r:id="rId6"/>
    <externalReference r:id="rId7"/>
    <externalReference r:id="rId8"/>
  </externalReferences>
  <definedNames>
    <definedName name="___thinkcell.lTIEE0Pf0mAsVhQ11lCfQ" hidden="1">#REF!</definedName>
    <definedName name="___thinkcell_ORl0t9y7key9DL4jBnOsg" hidden="1">#REF!</definedName>
    <definedName name="___thinkcell0lofhQCpbk6Rq3sY8kViLQ" hidden="1">#REF!</definedName>
    <definedName name="___thinkcell1pqd1Cm5oUu18NiQDsBoIg" hidden="1">#REF!</definedName>
    <definedName name="___thinkcell2Dx3fxDK9kKdx1OMtPVoMQ" hidden="1">#REF!</definedName>
    <definedName name="___thinkcell2vg4ETgHKUuDCUUpDejXJw" hidden="1">#REF!</definedName>
    <definedName name="___thinkcell4mSkG7mlMEerQx8vTPjDvg" hidden="1">'[1]Algae yield parameters'!$T$44</definedName>
    <definedName name="___thinkcell4Yi.Sujit0SMBgwOG0jTBA" hidden="1">#REF!</definedName>
    <definedName name="___thinkcell7Aucp4Uf3EOJjaMnYHi5Yg" hidden="1">#REF!</definedName>
    <definedName name="___thinkcell80tDq86GkUKICWRtZBHxRg" hidden="1">#REF!</definedName>
    <definedName name="___thinkcell8VjQUyk3EEyTr9EL.nQHZw" hidden="1">#REF!</definedName>
    <definedName name="___thinkcellAA6eiudQikODi1anfX5TSg" hidden="1">'[1]Algae yield parameters'!$Y$45</definedName>
    <definedName name="___thinkcellANYbodWfSkiYEN3_J8AhUA" hidden="1">'[1]Algae yield parameters'!$Y$32</definedName>
    <definedName name="___thinkcellApceCja_KEGHPMEEGn_Vmw" hidden="1">#REF!</definedName>
    <definedName name="___thinkcellApQR4EMYgE2_1O0O3tfDNQ" hidden="1">#REF!</definedName>
    <definedName name="___thinkcellAwi7H9e20k6JdqL9oEmcQA" hidden="1">'[1]Algae yield parameters'!$W$32</definedName>
    <definedName name="___thinkcellAwT5Xj4YS0iCm5O0LXDmZQ" hidden="1">#REF!</definedName>
    <definedName name="___thinkcellb3.bSODX_kyX.jA2RY_W6Q" hidden="1">#REF!</definedName>
    <definedName name="___thinkcellbg2farL.40a12ROCLqxMhA" hidden="1">#REF!</definedName>
    <definedName name="___thinkcellc196HtBn_kKU9bWUyMd5bQ" hidden="1">'[1]Algae yield parameters'!$Y$44</definedName>
    <definedName name="___thinkcellCaHQgaezX0W.fl0ItNh5zw" hidden="1">#REF!</definedName>
    <definedName name="___thinkcellcf1BVguSH0KzoJPmDJ649A" hidden="1">'[1]Algae yield parameters'!$V$32</definedName>
    <definedName name="___thinkcellCKG__pmMhU2imovGHJYpxQ" hidden="1">#REF!</definedName>
    <definedName name="___thinkcellDFeKwIUU.ku7_hFznPKl0Q" hidden="1">#REF!</definedName>
    <definedName name="___thinkcellE7ny7exkXUuSPOq8j.zpZw" hidden="1">#REF!</definedName>
    <definedName name="___thinkcellenijCEEEl0.nUBr8TjgaAg" hidden="1">#REF!</definedName>
    <definedName name="___thinkcellfgxU1bXbjkWQCC.VRwOCCA" hidden="1">#REF!</definedName>
    <definedName name="___thinkcellH8DPoqoc1Ei9cduvUIfF7Q" hidden="1">#REF!</definedName>
    <definedName name="___thinkcellHMj2Edha7UCZwzoX8xrWqA" hidden="1">#REF!</definedName>
    <definedName name="___thinkcellJEFANpje.0WyKp9CNjsHkA" hidden="1">#REF!</definedName>
    <definedName name="___thinkcellk.x4EZ_.CkyjbPVRIKQkNQ" hidden="1">#REF!</definedName>
    <definedName name="___thinkcellK5ZMV9KUeEe.NKmwRkTJBw" hidden="1">'[1]Algae yield parameters'!$X$44</definedName>
    <definedName name="___thinkcellkpGefu6UGk.GQSI2a6PhgA" hidden="1">'[1]Algae yield parameters'!$V$45</definedName>
    <definedName name="___thinkcellKz7A0JurMECKvoDw92MXRA" hidden="1">'[1]Algae yield parameters'!$V$44</definedName>
    <definedName name="___thinkcellL83c_plYski4j0N3q0MJyw" hidden="1">#REF!</definedName>
    <definedName name="___thinkcellLekt07j.ekere0ctoBM2.w" hidden="1">'[1]Algae yield parameters'!$U$44</definedName>
    <definedName name="___thinkcellLfXzZkGBKkexIfdV7q_0Sg" hidden="1">#REF!</definedName>
    <definedName name="___thinkcellM2LNKJuWaE20gr0D26Yn0Q" hidden="1">#REF!</definedName>
    <definedName name="___thinkcellMh1dyZP1eEGKb7JWybPqQA" hidden="1">#REF!</definedName>
    <definedName name="___thinkcellmmHf1qbB0U.Mh7qX_ISlOw" hidden="1">#REF!</definedName>
    <definedName name="___thinkcellmx_TwiOnyUmaN7kcdj4Z3g" hidden="1">#REF!</definedName>
    <definedName name="___thinkcellMYI2unEwf0SgUwvUnICxHw" hidden="1">'[1]Algae yield parameters'!$Z$44</definedName>
    <definedName name="___thinkcelln6J9uHjW90Ok4cKjHJoRow" hidden="1">'[1]Algae yield parameters'!$Z$32</definedName>
    <definedName name="___thinkcellnfsUulKdcEmPL.TVaK6qHQ" hidden="1">'[1]Algae yield parameters'!$W$43</definedName>
    <definedName name="___thinkcellO.aO5A2.oEOsE0VYMA4UNw" hidden="1">'[1]Algae yield parameters'!$X$43</definedName>
    <definedName name="___thinkcellpiMVS2vRS0.Z2YHuMxO2jw" hidden="1">#REF!</definedName>
    <definedName name="___thinkcellpQf6xzzg5E6yVEgipyAwyQ" hidden="1">#REF!</definedName>
    <definedName name="___thinkcellq_E6G_cdgEe__20eVIIzDQ" hidden="1">'[1]Algae yield parameters'!$W$45</definedName>
    <definedName name="___thinkcellQkYTEZO9R0O1vQOtkS6KQQ" hidden="1">#REF!</definedName>
    <definedName name="___thinkcellqUmHtsvwTk2tdnQA2rp3zA" hidden="1">#REF!</definedName>
    <definedName name="___thinkcellqVmjya.xs0K5Xe5GV.e8MQ" hidden="1">'[1]Algae yield parameters'!$W$44</definedName>
    <definedName name="___thinkcellR2Ntthtx7kefyuBd.QT_kQ" hidden="1">#REF!</definedName>
    <definedName name="___thinkcellr7b0EThzKk.d0wG6oTcUlA" hidden="1">#REF!</definedName>
    <definedName name="___thinkcellra4HW0fvdU6DURhrBQCRkg" hidden="1">#REF!</definedName>
    <definedName name="___thinkcellRhEOzRBbMkCDpipYQ76hsQ" hidden="1">#REF!</definedName>
    <definedName name="___thinkcellriZn6O1o00.74SgEniviAw" hidden="1">#REF!</definedName>
    <definedName name="___thinkcellst852ZYSBkKDOgwOM_ayPg" hidden="1">#REF!</definedName>
    <definedName name="___thinkcellsulWYtT4ikGN2IwVqxwe5A" hidden="1">#REF!</definedName>
    <definedName name="___thinkcellT_4fExM7oUG.AxX95G2few" hidden="1">#REF!</definedName>
    <definedName name="___thinkcelltUL5GDLlhUaaESwam.EqCg" hidden="1">'[1]Algae yield parameters'!$Z$45</definedName>
    <definedName name="___thinkcellU2uz9lE6E0myOYIlZvAviA" hidden="1">'[1]Algae yield parameters'!$Y$43</definedName>
    <definedName name="___thinkcellUorO0sSE1UeL8DymNH2AsA" hidden="1">#REF!</definedName>
    <definedName name="___thinkcellWelG5euOokaIZU429fd7CQ" hidden="1">#REF!</definedName>
    <definedName name="___thinkcellwSNF0u9xMk26f_hO_Pe79w" hidden="1">#REF!</definedName>
    <definedName name="___thinkcellwwNnKJnWmESMRBAiOkIMIg" hidden="1">'[1]Algae yield parameters'!$Z$43</definedName>
    <definedName name="___thinkcellYhfdIxC3X0WcY1JKtbQ7Rg" hidden="1">#REF!</definedName>
    <definedName name="___thinkcellyipzjC6K4EiZS1m2HDKaBQ" hidden="1">#REF!</definedName>
    <definedName name="___thinkcellyLq8Jc.Yc0KPjMiRnxGpwg" hidden="1">'[1]Algae yield parameters'!$X$32</definedName>
    <definedName name="___thinkcellynitct4Jek.DyWfHPTNeMw" hidden="1">#REF!</definedName>
    <definedName name="___thinkcellYXZlGEYN0UaTzbZ9NcJxig" hidden="1">#REF!</definedName>
    <definedName name="___thinkcellZMNSkKJe8EaMMRMbJEvQsw" hidden="1">'[1]Algae yield parameters'!$X$45</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acreperhectare">#REF!</definedName>
    <definedName name="BtuperkWh">#REF!</definedName>
    <definedName name="BtuperMJ">#REF!</definedName>
    <definedName name="C_GWP">#REF!</definedName>
    <definedName name="C_MW">#REF!</definedName>
    <definedName name="Ca_MW">[2]Factors!$D$18</definedName>
    <definedName name="CBWorkbookPriority" hidden="1">-717469739</definedName>
    <definedName name="ccpergal">#REF!</definedName>
    <definedName name="CH4_C_Ratio">#REF!</definedName>
    <definedName name="CH4_GWP">#REF!</definedName>
    <definedName name="CH4_MW">#REF!</definedName>
    <definedName name="Cl_MW">[2]Factors!$D$19</definedName>
    <definedName name="CO_C_Ratio">#REF!</definedName>
    <definedName name="CO_GWP">#REF!</definedName>
    <definedName name="CO_MW">#REF!</definedName>
    <definedName name="CO2_C_Ratio">#REF!</definedName>
    <definedName name="CO2_GWP">#REF!</definedName>
    <definedName name="CO2_MW">#REF!</definedName>
    <definedName name="EtOH_LHV">#REF!</definedName>
    <definedName name="Etoh_LHVMJ">[3]Factors!#REF!</definedName>
    <definedName name="EtOHgpg">#REF!</definedName>
    <definedName name="GETRID">[4]Factors!$C$31</definedName>
    <definedName name="gperlb">#REF!</definedName>
    <definedName name="H_GWP">#REF!</definedName>
    <definedName name="H_MW">#REF!</definedName>
    <definedName name="J2J">'Fuel Blending_2017'!$B$145</definedName>
    <definedName name="JperBtu">#REF!</definedName>
    <definedName name="K_MW">[2]Factors!$D$23</definedName>
    <definedName name="kWh2BTU">'Fuel Blending_2017'!$F$150</definedName>
    <definedName name="lb2g">[5]Fuel_Specs!$E$113</definedName>
    <definedName name="lbperkg">#REF!</definedName>
    <definedName name="Lpergal">#REF!</definedName>
    <definedName name="m3perkgmol">#REF!</definedName>
    <definedName name="MJpermmBtu">#REF!</definedName>
    <definedName name="N_GWP">#REF!</definedName>
    <definedName name="N_MW">#REF!</definedName>
    <definedName name="N2O_GWP">#REF!</definedName>
    <definedName name="N2O_MW">#REF!</definedName>
    <definedName name="Na_MW">[2]Factors!$D$20</definedName>
    <definedName name="NO2_GWP">#REF!</definedName>
    <definedName name="NO2_MW">#REF!</definedName>
    <definedName name="O_GWP">#REF!</definedName>
    <definedName name="O_MW">#REF!</definedName>
    <definedName name="P_MW">[2]Factors!$D$22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S_MW">[2]Factors!$D$21</definedName>
    <definedName name="SO2_S_Ratio">#REF!</definedName>
    <definedName name="tonneperton">#REF!</definedName>
    <definedName name="tonpertonne">[3]Factors!$C$35</definedName>
    <definedName name="VOC_C_Ratio">#REF!</definedName>
    <definedName name="VOC_GWP">#REF!</definedName>
    <definedName name="VOC_MW">#REF!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4" l="1"/>
  <c r="G12" i="14"/>
  <c r="D9" i="14" l="1"/>
  <c r="G9" i="14"/>
  <c r="C12" i="14"/>
  <c r="H11" i="14"/>
  <c r="C9" i="14" l="1"/>
  <c r="G22" i="16"/>
  <c r="C26" i="14" l="1"/>
  <c r="H55" i="14"/>
  <c r="I55" i="14" s="1"/>
  <c r="J54" i="14" s="1"/>
  <c r="F55" i="14"/>
  <c r="J51" i="14" s="1"/>
  <c r="E55" i="14"/>
  <c r="D55" i="14" s="1"/>
  <c r="G53" i="14"/>
  <c r="F53" i="14"/>
  <c r="E53" i="14"/>
  <c r="D53" i="14"/>
  <c r="C53" i="14"/>
  <c r="J52" i="14"/>
  <c r="H52" i="14"/>
  <c r="F52" i="14"/>
  <c r="E52" i="14"/>
  <c r="D52" i="14"/>
  <c r="C52" i="14"/>
  <c r="H51" i="14"/>
  <c r="G51" i="14"/>
  <c r="E51" i="14"/>
  <c r="D51" i="14"/>
  <c r="C51" i="14"/>
  <c r="H50" i="14"/>
  <c r="G50" i="14"/>
  <c r="F50" i="14"/>
  <c r="D50" i="14"/>
  <c r="C50" i="14"/>
  <c r="H49" i="14"/>
  <c r="G49" i="14"/>
  <c r="F49" i="14"/>
  <c r="E49" i="14"/>
  <c r="C49" i="14"/>
  <c r="I48" i="14"/>
  <c r="E54" i="14" s="1"/>
  <c r="F45" i="14"/>
  <c r="E45" i="14"/>
  <c r="D45" i="14"/>
  <c r="C45" i="14"/>
  <c r="G44" i="14"/>
  <c r="E44" i="14"/>
  <c r="D44" i="14"/>
  <c r="C44" i="14"/>
  <c r="G43" i="14"/>
  <c r="F43" i="14"/>
  <c r="D43" i="14"/>
  <c r="C43" i="14"/>
  <c r="G42" i="14"/>
  <c r="F42" i="14"/>
  <c r="E42" i="14"/>
  <c r="C42" i="14"/>
  <c r="E37" i="14"/>
  <c r="D37" i="14"/>
  <c r="C37" i="14"/>
  <c r="F36" i="14"/>
  <c r="D36" i="14"/>
  <c r="C36" i="14"/>
  <c r="F35" i="14"/>
  <c r="E35" i="14"/>
  <c r="C35" i="14"/>
  <c r="G34" i="14"/>
  <c r="F38" i="14" s="1"/>
  <c r="J50" i="14" l="1"/>
  <c r="G36" i="14"/>
  <c r="G35" i="14"/>
  <c r="G37" i="14"/>
  <c r="J49" i="14"/>
  <c r="C55" i="14"/>
  <c r="J48" i="14" s="1"/>
  <c r="C54" i="14"/>
  <c r="D54" i="14"/>
  <c r="G54" i="14"/>
  <c r="F54" i="14"/>
  <c r="C38" i="14"/>
  <c r="I52" i="14"/>
  <c r="J53" i="14"/>
  <c r="D38" i="14"/>
  <c r="I51" i="14"/>
  <c r="I49" i="14"/>
  <c r="H54" i="14"/>
  <c r="E38" i="14"/>
  <c r="I50" i="14"/>
  <c r="I53" i="14"/>
  <c r="E19" i="14" l="1"/>
  <c r="E21" i="14" s="1"/>
  <c r="C4" i="14"/>
  <c r="D6" i="14"/>
  <c r="G4" i="14"/>
  <c r="C6" i="14" l="1"/>
  <c r="D20" i="14"/>
  <c r="D21" i="14" s="1"/>
  <c r="G6" i="14"/>
  <c r="E5" i="14" l="1"/>
  <c r="E6" i="14" s="1"/>
  <c r="F20" i="14"/>
  <c r="E22" i="14" l="1"/>
  <c r="E26" i="14" s="1"/>
  <c r="E24" i="14" s="1"/>
  <c r="E27" i="14" s="1"/>
  <c r="F21" i="14"/>
  <c r="F5" i="14"/>
  <c r="F6" i="14" s="1"/>
  <c r="H5" i="14" s="1"/>
  <c r="C7" i="14"/>
  <c r="D7" i="14"/>
  <c r="D22" i="14"/>
  <c r="D26" i="14" s="1"/>
  <c r="C8" i="14" l="1"/>
  <c r="H6" i="14"/>
  <c r="D23" i="14"/>
  <c r="E23" i="14"/>
  <c r="F26" i="14"/>
  <c r="E10" i="14"/>
  <c r="F7" i="14"/>
  <c r="L9" i="14"/>
  <c r="G7" i="14"/>
  <c r="D25" i="14"/>
  <c r="F25" i="14" s="1"/>
  <c r="F23" i="14" l="1"/>
  <c r="F27" i="14" s="1"/>
  <c r="K9" i="14"/>
  <c r="F10" i="14"/>
  <c r="H10" i="14" s="1"/>
  <c r="D8" i="14" l="1"/>
  <c r="E8" i="14" s="1"/>
  <c r="F8" i="14" l="1"/>
  <c r="G8" i="14"/>
  <c r="H8" i="14" l="1"/>
  <c r="H12" i="14" s="1"/>
  <c r="F12" i="14"/>
  <c r="M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Love Goyal</author>
    <author>Stefan Unnasch</author>
    <author>Stefan</author>
  </authors>
  <commentList>
    <comment ref="F4" authorId="0" shapeId="0" xr:uid="{00000000-0006-0000-0100-000001000000}">
      <text>
        <r>
          <rPr>
            <b/>
            <sz val="9"/>
            <color indexed="81"/>
            <rFont val="Tahoma"/>
            <family val="2"/>
          </rPr>
          <t>Love Goyal:</t>
        </r>
        <r>
          <rPr>
            <sz val="9"/>
            <color indexed="81"/>
            <rFont val="Tahoma"/>
            <family val="2"/>
          </rPr>
          <t xml:space="preserve">
Average Washington blend level for 2017 based on EIA data</t>
        </r>
      </text>
    </comment>
    <comment ref="G9" authorId="1" shapeId="0" xr:uid="{00000000-0006-0000-0100-000002000000}">
      <text>
        <r>
          <rPr>
            <b/>
            <sz val="9"/>
            <color indexed="81"/>
            <rFont val="Tahoma"/>
            <family val="2"/>
          </rPr>
          <t>Stefan Unnasch:</t>
        </r>
        <r>
          <rPr>
            <sz val="9"/>
            <color indexed="81"/>
            <rFont val="Tahoma"/>
            <family val="2"/>
          </rPr>
          <t xml:space="preserve">
2017 Scenario Year, US Feed, WA Fuel</t>
        </r>
      </text>
    </comment>
    <comment ref="C11" authorId="2" shapeId="0" xr:uid="{00000000-0006-0000-0100-000003000000}">
      <text>
        <r>
          <rPr>
            <b/>
            <sz val="9"/>
            <color indexed="81"/>
            <rFont val="Tahoma"/>
            <family val="2"/>
          </rPr>
          <t>Stefan:</t>
        </r>
        <r>
          <rPr>
            <sz val="9"/>
            <color indexed="81"/>
            <rFont val="Tahoma"/>
            <family val="2"/>
          </rPr>
          <t xml:space="preserve">
ARB has chosen not to report the vehicle emissions in the WTT CI.</t>
        </r>
      </text>
    </comment>
    <comment ref="F11" authorId="2" shapeId="0" xr:uid="{00000000-0006-0000-0100-000004000000}">
      <text>
        <r>
          <rPr>
            <b/>
            <sz val="9"/>
            <color indexed="81"/>
            <rFont val="Tahoma"/>
            <family val="2"/>
          </rPr>
          <t>Stefan:</t>
        </r>
        <r>
          <rPr>
            <sz val="9"/>
            <color indexed="81"/>
            <rFont val="Tahoma"/>
            <family val="2"/>
          </rPr>
          <t xml:space="preserve">
Pathway document does not include these emissions in WTT results.  They are added later in the final GHG calculations.
How does WA want to deal with this?</t>
        </r>
      </text>
    </comment>
    <comment ref="C12" authorId="2" shapeId="0" xr:uid="{00000000-0006-0000-0100-000005000000}">
      <text>
        <r>
          <rPr>
            <b/>
            <sz val="9"/>
            <color indexed="81"/>
            <rFont val="Tahoma"/>
            <family val="2"/>
          </rPr>
          <t>Stefan:</t>
        </r>
        <r>
          <rPr>
            <sz val="9"/>
            <color indexed="81"/>
            <rFont val="Tahoma"/>
            <family val="2"/>
          </rPr>
          <t xml:space="preserve">
U.S. Average Mix, Feed and Fuel</t>
        </r>
      </text>
    </comment>
    <comment ref="D19" authorId="0" shapeId="0" xr:uid="{00000000-0006-0000-0100-000006000000}">
      <text>
        <r>
          <rPr>
            <b/>
            <sz val="9"/>
            <color indexed="81"/>
            <rFont val="Tahoma"/>
            <family val="2"/>
          </rPr>
          <t>Love Goyal:</t>
        </r>
        <r>
          <rPr>
            <sz val="9"/>
            <color indexed="81"/>
            <rFont val="Tahoma"/>
            <family val="2"/>
          </rPr>
          <t xml:space="preserve">
Average Washington blend level for 2017 based on EIA data</t>
        </r>
      </text>
    </comment>
    <comment ref="E20" authorId="0" shapeId="0" xr:uid="{00000000-0006-0000-0100-000007000000}">
      <text>
        <r>
          <rPr>
            <b/>
            <sz val="9"/>
            <color indexed="81"/>
            <rFont val="Tahoma"/>
            <family val="2"/>
          </rPr>
          <t>Love Goyal:</t>
        </r>
        <r>
          <rPr>
            <sz val="9"/>
            <color indexed="81"/>
            <rFont val="Tahoma"/>
            <family val="2"/>
          </rPr>
          <t xml:space="preserve">
LHV of Low-Sulfur Diesel from WA-GREET</t>
        </r>
      </text>
    </comment>
  </commentList>
</comments>
</file>

<file path=xl/sharedStrings.xml><?xml version="1.0" encoding="utf-8"?>
<sst xmlns="http://schemas.openxmlformats.org/spreadsheetml/2006/main" count="206" uniqueCount="157">
  <si>
    <t>Blending Component</t>
  </si>
  <si>
    <t>Ethanol</t>
  </si>
  <si>
    <t>LHV (Btu/gal)</t>
  </si>
  <si>
    <t>Denatured Ethanol</t>
  </si>
  <si>
    <t>Energy Frac</t>
  </si>
  <si>
    <t>Life Cycle Associates, LLC</t>
  </si>
  <si>
    <t>Life Cycle Associates</t>
  </si>
  <si>
    <t>Legend</t>
  </si>
  <si>
    <t>Authors</t>
  </si>
  <si>
    <t>Information</t>
  </si>
  <si>
    <t>Stefan Unnasch</t>
  </si>
  <si>
    <t>Unnasch@lifecycleassociates.com</t>
  </si>
  <si>
    <t>Calculations</t>
  </si>
  <si>
    <t>Results</t>
  </si>
  <si>
    <t>Description</t>
  </si>
  <si>
    <t>LCI Data, Database</t>
  </si>
  <si>
    <t>Notes</t>
  </si>
  <si>
    <t>• Input parameters are in blue text and may be changed by the user</t>
  </si>
  <si>
    <t>• Linked cells are indicated in green text</t>
  </si>
  <si>
    <t xml:space="preserve">• Calculations are black text and should not be changed </t>
  </si>
  <si>
    <t>*******************************************************************************************************************************************</t>
  </si>
  <si>
    <t xml:space="preserve">                                                    COPYRIGHT NOTIFICATION</t>
  </si>
  <si>
    <t>Contact:</t>
  </si>
  <si>
    <t>office:   1.650.461.9048</t>
  </si>
  <si>
    <t>mobile: 1.650.380.9504</t>
  </si>
  <si>
    <t>facsimile: 1.484.313.9504</t>
  </si>
  <si>
    <t>Unnasch@LifeCycleAssociates.com</t>
  </si>
  <si>
    <t>http://www.LifeCycleAssociates.com/</t>
  </si>
  <si>
    <t>Volume, v (%)</t>
  </si>
  <si>
    <t>Denatured</t>
  </si>
  <si>
    <t>Finished Fuel</t>
  </si>
  <si>
    <t>E0</t>
  </si>
  <si>
    <t>E5.7</t>
  </si>
  <si>
    <t>E10</t>
  </si>
  <si>
    <t>E15</t>
  </si>
  <si>
    <t>LHV</t>
  </si>
  <si>
    <t>CI x LHV fraction</t>
  </si>
  <si>
    <t>E85</t>
  </si>
  <si>
    <t>Vehicle N2O + CH4</t>
  </si>
  <si>
    <t>LUC</t>
  </si>
  <si>
    <t>Pure Component CI</t>
  </si>
  <si>
    <t xml:space="preserve">v × LHV </t>
  </si>
  <si>
    <t>Total CI</t>
  </si>
  <si>
    <t>not reported</t>
  </si>
  <si>
    <r>
      <t xml:space="preserve">1. </t>
    </r>
    <r>
      <rPr>
        <b/>
        <sz val="10"/>
        <rFont val="Arial"/>
        <family val="2"/>
      </rPr>
      <t>WARRANTY DISCLAIMER.</t>
    </r>
    <r>
      <rPr>
        <sz val="10"/>
        <rFont val="Arial"/>
        <family val="2"/>
      </rPr>
      <t xml:space="preserve"> THE SOFTWARE IS SUPPLIED "AS IS" WITHOUT WARRANTY OF ANY KIND. THE COPYRIGHT HOLDERS: (1) DISCLAIM ANY WARRANTIES, EXPRESS OR IMPLIED, INCLUDING BUT NOT LIMITED TO ANY IMPLIED WARRANTIES OF MERCHANTABILITY, FITNESS FOR A PARTICULAR</t>
    </r>
  </si>
  <si>
    <r>
      <t>2. LIMITATION OF LIABILITY.</t>
    </r>
    <r>
      <rPr>
        <sz val="10"/>
        <rFont val="Arial"/>
        <family val="2"/>
      </rPr>
      <t xml:space="preserve"> IN NO EVENT WILL THE COPYRIGHT HOLDERS: BE LIABLE FOR ANY INDIRECT, INCIDENTAL, CONSEQUENTIAL, SPECIAL OR PUNITIVE DAMAGES OF ANY KIND OR NATURE, INCLUDING BUT NOT LIMITED TO LOSS OF PROFITS OR LOSS OF DATA, FOR ANY REASON WHAT</t>
    </r>
  </si>
  <si>
    <t>Active Case</t>
  </si>
  <si>
    <t>Copyright © 2022, Life Cycle Associates, LLC</t>
  </si>
  <si>
    <t>Gasoline Blending</t>
  </si>
  <si>
    <t>Diesel Blending</t>
  </si>
  <si>
    <t>Biodiesel</t>
  </si>
  <si>
    <t>Natural Gas</t>
  </si>
  <si>
    <t>Electricity</t>
  </si>
  <si>
    <t>Corn Oil as separate?</t>
  </si>
  <si>
    <t>Ethanol Yield</t>
  </si>
  <si>
    <t>Enzymes and yeast</t>
  </si>
  <si>
    <t>Unit</t>
  </si>
  <si>
    <t>DGS Yield</t>
  </si>
  <si>
    <t>Total Energy use</t>
  </si>
  <si>
    <t>Coal</t>
  </si>
  <si>
    <t>Btu/gal</t>
  </si>
  <si>
    <t>kWh/gal</t>
  </si>
  <si>
    <t>Bone-dry lb/gal EtOH</t>
  </si>
  <si>
    <t>gal/bu</t>
  </si>
  <si>
    <t xml:space="preserve">     Alpha Amylase</t>
  </si>
  <si>
    <t xml:space="preserve">     Gluco Amylase</t>
  </si>
  <si>
    <t xml:space="preserve">     Cellulase</t>
  </si>
  <si>
    <t xml:space="preserve">     Yeast</t>
  </si>
  <si>
    <t xml:space="preserve">     Sulfuric acid (H2SO4)</t>
  </si>
  <si>
    <t xml:space="preserve">     Ammonia (NH3)</t>
  </si>
  <si>
    <t>NaOH</t>
  </si>
  <si>
    <t>CaO</t>
  </si>
  <si>
    <t>Urea</t>
  </si>
  <si>
    <t>g/gal</t>
  </si>
  <si>
    <t>GREET Inputs</t>
  </si>
  <si>
    <t>1-US Ave</t>
  </si>
  <si>
    <t>Mass</t>
  </si>
  <si>
    <t>1 g</t>
  </si>
  <si>
    <t>1 kg</t>
  </si>
  <si>
    <t>1 metric tonne</t>
  </si>
  <si>
    <t>1 lb</t>
  </si>
  <si>
    <t>1 short ton</t>
  </si>
  <si>
    <t>g</t>
  </si>
  <si>
    <t>kg</t>
  </si>
  <si>
    <t>metric tonne</t>
  </si>
  <si>
    <t>lb</t>
  </si>
  <si>
    <t>short ton</t>
  </si>
  <si>
    <t>Volume</t>
  </si>
  <si>
    <t>1 m3</t>
  </si>
  <si>
    <t>1 ml</t>
  </si>
  <si>
    <t>1 L</t>
  </si>
  <si>
    <t>1 gal</t>
  </si>
  <si>
    <t>1 ft3</t>
  </si>
  <si>
    <t>m3</t>
  </si>
  <si>
    <t>ml</t>
  </si>
  <si>
    <t>L</t>
  </si>
  <si>
    <t>gal</t>
  </si>
  <si>
    <t>ft3</t>
  </si>
  <si>
    <t>Energy</t>
  </si>
  <si>
    <t>1 J</t>
  </si>
  <si>
    <t>1kJ</t>
  </si>
  <si>
    <t>1 MJ</t>
  </si>
  <si>
    <t>1Wh</t>
  </si>
  <si>
    <t>1 kWh</t>
  </si>
  <si>
    <t>1 BTU</t>
  </si>
  <si>
    <t>1 mmBTU</t>
  </si>
  <si>
    <t>1 hph</t>
  </si>
  <si>
    <t>J</t>
  </si>
  <si>
    <t>kJ</t>
  </si>
  <si>
    <t>MJ</t>
  </si>
  <si>
    <t>Wh</t>
  </si>
  <si>
    <t>kWh</t>
  </si>
  <si>
    <t>BTU</t>
  </si>
  <si>
    <t>mmBTU</t>
  </si>
  <si>
    <t>hph</t>
  </si>
  <si>
    <t>Methanol</t>
  </si>
  <si>
    <t>Soy Oil Yield</t>
  </si>
  <si>
    <t>Biofuel Yield</t>
  </si>
  <si>
    <t xml:space="preserve">Glycerin Yield </t>
  </si>
  <si>
    <t>Btu/lb BD</t>
  </si>
  <si>
    <t>kWh/lb BD</t>
  </si>
  <si>
    <t>lb soy oil/ lb SB</t>
  </si>
  <si>
    <t>lb BD/ lb soy oil</t>
  </si>
  <si>
    <t>lb/ lb BD</t>
  </si>
  <si>
    <t>Ethanol Inputs</t>
  </si>
  <si>
    <t>Soy Biodiesel Inputs</t>
  </si>
  <si>
    <t>Soy Oil Yield (with 13% moisture content)</t>
  </si>
  <si>
    <t>lb soy oil/ bu SB</t>
  </si>
  <si>
    <t xml:space="preserve">     Sodium hydroxide</t>
  </si>
  <si>
    <t xml:space="preserve">     Sodium methoxide</t>
  </si>
  <si>
    <t xml:space="preserve">     Hydrochloric acid</t>
  </si>
  <si>
    <t xml:space="preserve">     Phosphoric acid</t>
  </si>
  <si>
    <t xml:space="preserve">     Citric acid</t>
  </si>
  <si>
    <t>Grid mix (feed &amp; fuel)</t>
  </si>
  <si>
    <t>Default T&amp;D from WA-GREET</t>
  </si>
  <si>
    <t>Input Parameter</t>
  </si>
  <si>
    <t>Pure</t>
  </si>
  <si>
    <t>Ethanol Blending (%vol)</t>
  </si>
  <si>
    <t>*For yearly blend level data, see "use_all_phy yearly blend level.xlsx" spreadsheet</t>
  </si>
  <si>
    <t>2.5% denaturant is consistent with fuel specifications and denaturant requirements.</t>
  </si>
  <si>
    <t>EIA reports "denatured ethanol" in gasoline for Washington State</t>
  </si>
  <si>
    <t>Denaturant</t>
  </si>
  <si>
    <t>Gasoline Blendstock</t>
  </si>
  <si>
    <t>Love Goyal</t>
  </si>
  <si>
    <t>Goyal@lifecycleassociates,com</t>
  </si>
  <si>
    <t>This Excel workbook calculates the CI of finished gasoline and diesel</t>
  </si>
  <si>
    <t>Biodiesel Blending</t>
  </si>
  <si>
    <t>B2.5</t>
  </si>
  <si>
    <t>BD V%</t>
  </si>
  <si>
    <t>Finished Fuel CI (g/MJ)</t>
  </si>
  <si>
    <t>B5</t>
  </si>
  <si>
    <t>Diesel Fuel</t>
  </si>
  <si>
    <t>Denaturant Adder</t>
  </si>
  <si>
    <t>Finished RFG/diesel weighted Carbon Intensity and Denaturant Blending</t>
  </si>
  <si>
    <t>Washington 2017 Blended Fuel Carbon Intensity Fuel Calculator - For CI Standard and Lookup Table</t>
  </si>
  <si>
    <t>Release Date</t>
  </si>
  <si>
    <t xml:space="preserve">Total 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</si>
</sst>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0.0"/>
    <numFmt numFmtId="165" formatCode="0.0"/>
    <numFmt numFmtId="166" formatCode="0.0000"/>
    <numFmt numFmtId="167" formatCode="0.0%"/>
    <numFmt numFmtId="168" formatCode="0_)"/>
    <numFmt numFmtId="169" formatCode="_([$€-2]* #,##0.00_);_([$€-2]* \(#,##0.00\);_([$€-2]* &quot;-&quot;??_)"/>
    <numFmt numFmtId="170" formatCode="#,##0.0000"/>
    <numFmt numFmtId="171" formatCode="#,##0.000"/>
    <numFmt numFmtId="172" formatCode="#,##0.000000"/>
    <numFmt numFmtId="173" formatCode="0.000000"/>
    <numFmt numFmtId="174" formatCode="0.000"/>
    <numFmt numFmtId="175" formatCode="#,##0.000000000"/>
    <numFmt numFmtId="176" formatCode="#,##0.0000000000"/>
    <numFmt numFmtId="177" formatCode="#,##0.0000000"/>
    <numFmt numFmtId="178" formatCode="0.0000%"/>
    <numFmt numFmtId="179" formatCode="0.000%"/>
    <numFmt numFmtId="180" formatCode="#,##0.00000000"/>
    <numFmt numFmtId="181" formatCode="0.00000000"/>
  </numFmts>
  <fonts count="54" x14ac:knownFonts="1">
    <font>
      <sz val="11"/>
      <color theme="1"/>
      <name val="Calibri"/>
      <family val="2"/>
      <scheme val="minor"/>
    </font>
    <font>
      <sz val="11"/>
      <color indexed="8"/>
      <name val="Calibri"/>
      <family val="2"/>
    </font>
    <font>
      <sz val="10"/>
      <name val="Arial"/>
      <family val="2"/>
    </font>
    <font>
      <b/>
      <sz val="10"/>
      <name val="Arial"/>
      <family val="2"/>
    </font>
    <font>
      <b/>
      <sz val="12"/>
      <name val="Arial"/>
      <family val="2"/>
    </font>
    <font>
      <sz val="10"/>
      <color indexed="8"/>
      <name val="Arial"/>
      <family val="2"/>
    </font>
    <font>
      <b/>
      <sz val="11"/>
      <color indexed="8"/>
      <name val="Calibri"/>
      <family val="2"/>
    </font>
    <font>
      <sz val="8"/>
      <name val="Calibri"/>
      <family val="2"/>
    </font>
    <font>
      <b/>
      <sz val="10"/>
      <color indexed="8"/>
      <name val="Arial"/>
      <family val="2"/>
    </font>
    <font>
      <sz val="10"/>
      <color indexed="12"/>
      <name val="Arial"/>
      <family val="2"/>
    </font>
    <font>
      <sz val="11"/>
      <color indexed="9"/>
      <name val="Calibri"/>
      <family val="2"/>
    </font>
    <font>
      <b/>
      <sz val="11"/>
      <color indexed="52"/>
      <name val="Calibri"/>
      <family val="2"/>
    </font>
    <font>
      <sz val="11"/>
      <color indexed="17"/>
      <name val="Calibri"/>
      <family val="2"/>
    </font>
    <font>
      <b/>
      <sz val="11"/>
      <color indexed="63"/>
      <name val="Calibri"/>
      <family val="2"/>
    </font>
    <font>
      <sz val="10"/>
      <color indexed="8"/>
      <name val="Arial"/>
      <family val="2"/>
    </font>
    <font>
      <sz val="10"/>
      <color indexed="8"/>
      <name val="Calibri"/>
      <family val="2"/>
    </font>
    <font>
      <sz val="11"/>
      <color indexed="8"/>
      <name val="Arial"/>
      <family val="2"/>
    </font>
    <font>
      <sz val="10"/>
      <name val="Arial"/>
      <family val="2"/>
    </font>
    <font>
      <u/>
      <sz val="16"/>
      <color indexed="8"/>
      <name val="Calibri"/>
      <family val="2"/>
    </font>
    <font>
      <sz val="16"/>
      <color indexed="8"/>
      <name val="Trebuchet MS"/>
      <family val="2"/>
    </font>
    <font>
      <sz val="16"/>
      <color indexed="8"/>
      <name val="Calibri"/>
      <family val="2"/>
    </font>
    <font>
      <b/>
      <sz val="14"/>
      <name val="Arial"/>
      <family val="2"/>
    </font>
    <font>
      <b/>
      <u/>
      <sz val="10"/>
      <name val="Arial"/>
      <family val="2"/>
    </font>
    <font>
      <u/>
      <sz val="11"/>
      <color indexed="12"/>
      <name val="Arial"/>
      <family val="2"/>
    </font>
    <font>
      <sz val="10"/>
      <color indexed="17"/>
      <name val="Arial"/>
      <family val="2"/>
    </font>
    <font>
      <sz val="11"/>
      <color indexed="14"/>
      <name val="Calibri"/>
      <family val="2"/>
    </font>
    <font>
      <b/>
      <sz val="15"/>
      <color indexed="62"/>
      <name val="Calibri"/>
      <family val="2"/>
    </font>
    <font>
      <b/>
      <sz val="13"/>
      <color indexed="62"/>
      <name val="Calibri"/>
      <family val="2"/>
    </font>
    <font>
      <b/>
      <sz val="11"/>
      <color indexed="62"/>
      <name val="Calibri"/>
      <family val="2"/>
    </font>
    <font>
      <sz val="10"/>
      <name val="Verdana"/>
      <family val="2"/>
    </font>
    <font>
      <sz val="10"/>
      <name val="Helv"/>
      <family val="2"/>
    </font>
    <font>
      <b/>
      <sz val="18"/>
      <color indexed="62"/>
      <name val="Cambria"/>
      <family val="2"/>
    </font>
    <font>
      <i/>
      <sz val="11"/>
      <color indexed="23"/>
      <name val="Calibri"/>
      <family val="2"/>
    </font>
    <font>
      <b/>
      <sz val="15"/>
      <color indexed="56"/>
      <name val="Calibri"/>
      <family val="2"/>
    </font>
    <font>
      <b/>
      <sz val="11"/>
      <color indexed="56"/>
      <name val="Calibri"/>
      <family val="2"/>
    </font>
    <font>
      <b/>
      <sz val="18"/>
      <color indexed="56"/>
      <name val="Cambria"/>
      <family val="2"/>
    </font>
    <font>
      <sz val="11"/>
      <color indexed="20"/>
      <name val="Calibri"/>
      <family val="2"/>
    </font>
    <font>
      <b/>
      <sz val="11"/>
      <color indexed="9"/>
      <name val="Calibri"/>
      <family val="2"/>
    </font>
    <font>
      <b/>
      <sz val="13"/>
      <color indexed="56"/>
      <name val="Calibri"/>
      <family val="2"/>
    </font>
    <font>
      <sz val="11"/>
      <color indexed="62"/>
      <name val="Calibri"/>
      <family val="2"/>
    </font>
    <font>
      <sz val="11"/>
      <color indexed="52"/>
      <name val="Calibri"/>
      <family val="2"/>
    </font>
    <font>
      <sz val="11"/>
      <color indexed="60"/>
      <name val="Calibri"/>
      <family val="2"/>
    </font>
    <font>
      <sz val="11"/>
      <color indexed="10"/>
      <name val="Calibri"/>
      <family val="2"/>
    </font>
    <font>
      <sz val="10"/>
      <color indexed="10"/>
      <name val="Arial"/>
      <family val="2"/>
    </font>
    <font>
      <u/>
      <sz val="9.9"/>
      <color indexed="12"/>
      <name val="Calibri"/>
      <family val="2"/>
    </font>
    <font>
      <sz val="9"/>
      <color indexed="81"/>
      <name val="Tahoma"/>
      <family val="2"/>
    </font>
    <font>
      <b/>
      <sz val="9"/>
      <color indexed="81"/>
      <name val="Tahoma"/>
      <family val="2"/>
    </font>
    <font>
      <u/>
      <sz val="11"/>
      <color theme="10"/>
      <name val="Calibri"/>
      <family val="2"/>
    </font>
    <font>
      <sz val="10"/>
      <color theme="1"/>
      <name val="Arial"/>
      <family val="2"/>
    </font>
    <font>
      <sz val="10"/>
      <color rgb="FF0000FF"/>
      <name val="Arial"/>
      <family val="2"/>
    </font>
    <font>
      <b/>
      <sz val="14"/>
      <color theme="1"/>
      <name val="Calibri"/>
      <family val="2"/>
      <scheme val="minor"/>
    </font>
    <font>
      <sz val="14"/>
      <color theme="1"/>
      <name val="Calibri"/>
      <family val="2"/>
      <scheme val="minor"/>
    </font>
    <font>
      <b/>
      <sz val="12"/>
      <color theme="1"/>
      <name val="Arial Black"/>
      <family val="2"/>
    </font>
    <font>
      <b/>
      <sz val="11"/>
      <color indexed="8"/>
      <name val="Arial"/>
      <family val="2"/>
    </font>
  </fonts>
  <fills count="35">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19"/>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bgColor indexed="64"/>
      </patternFill>
    </fill>
    <fill>
      <patternFill patternType="solid">
        <fgColor indexed="28"/>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rgb="FF33CCCC"/>
        <bgColor indexed="64"/>
      </patternFill>
    </fill>
    <fill>
      <patternFill patternType="solid">
        <fgColor theme="5" tint="0.79998168889431442"/>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69">
    <xf numFmtId="0" fontId="0" fillId="0" borderId="0"/>
    <xf numFmtId="0" fontId="1" fillId="3"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5"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3" borderId="0" applyNumberFormat="0" applyBorder="0" applyAlignment="0" applyProtection="0"/>
    <xf numFmtId="0" fontId="10" fillId="11"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2"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25" fillId="4" borderId="0" applyNumberFormat="0" applyBorder="0" applyAlignment="0" applyProtection="0"/>
    <xf numFmtId="0" fontId="36" fillId="4" borderId="0" applyNumberFormat="0" applyBorder="0" applyAlignment="0" applyProtection="0"/>
    <xf numFmtId="0" fontId="12" fillId="6" borderId="0" applyNumberFormat="0" applyBorder="0" applyAlignment="0" applyProtection="0"/>
    <xf numFmtId="0" fontId="11" fillId="3" borderId="1" applyNumberFormat="0" applyAlignment="0" applyProtection="0"/>
    <xf numFmtId="0" fontId="11" fillId="11" borderId="1" applyNumberFormat="0" applyAlignment="0" applyProtection="0"/>
    <xf numFmtId="0" fontId="11" fillId="11" borderId="1" applyNumberFormat="0" applyAlignment="0" applyProtection="0"/>
    <xf numFmtId="0" fontId="37" fillId="26" borderId="2" applyNumberFormat="0" applyAlignment="0" applyProtection="0"/>
    <xf numFmtId="0" fontId="40" fillId="0" borderId="3" applyNumberFormat="0" applyFill="0" applyAlignment="0" applyProtection="0"/>
    <xf numFmtId="0" fontId="37" fillId="26" borderId="2" applyNumberFormat="0" applyAlignment="0" applyProtection="0"/>
    <xf numFmtId="0" fontId="37" fillId="26"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34" fillId="0" borderId="0" applyNumberFormat="0" applyFill="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39" fillId="5" borderId="1" applyNumberFormat="0" applyAlignment="0" applyProtection="0"/>
    <xf numFmtId="169" fontId="2"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26" fillId="0" borderId="5" applyNumberFormat="0" applyFill="0" applyAlignment="0" applyProtection="0"/>
    <xf numFmtId="0" fontId="33" fillId="0" borderId="4" applyNumberFormat="0" applyFill="0" applyAlignment="0" applyProtection="0"/>
    <xf numFmtId="0" fontId="27" fillId="0" borderId="6" applyNumberFormat="0" applyFill="0" applyAlignment="0" applyProtection="0"/>
    <xf numFmtId="0" fontId="38" fillId="0" borderId="6" applyNumberFormat="0" applyFill="0" applyAlignment="0" applyProtection="0"/>
    <xf numFmtId="0" fontId="28" fillId="0" borderId="8" applyNumberFormat="0" applyFill="0" applyAlignment="0" applyProtection="0"/>
    <xf numFmtId="0" fontId="34" fillId="0" borderId="7" applyNumberFormat="0" applyFill="0" applyAlignment="0" applyProtection="0"/>
    <xf numFmtId="0" fontId="28" fillId="0" borderId="0" applyNumberFormat="0" applyFill="0" applyBorder="0" applyAlignment="0" applyProtection="0"/>
    <xf numFmtId="0" fontId="34" fillId="0" borderId="0" applyNumberFormat="0" applyFill="0" applyBorder="0" applyAlignment="0" applyProtection="0"/>
    <xf numFmtId="0" fontId="47"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6" fillId="4" borderId="0" applyNumberFormat="0" applyBorder="0" applyAlignment="0" applyProtection="0"/>
    <xf numFmtId="0" fontId="39" fillId="5" borderId="1" applyNumberFormat="0" applyAlignment="0" applyProtection="0"/>
    <xf numFmtId="0" fontId="39" fillId="5" borderId="1" applyNumberFormat="0" applyAlignment="0" applyProtection="0"/>
    <xf numFmtId="0" fontId="40" fillId="0" borderId="3" applyNumberFormat="0" applyFill="0" applyAlignment="0" applyProtection="0"/>
    <xf numFmtId="0" fontId="40" fillId="0" borderId="3" applyNumberFormat="0" applyFill="0" applyAlignment="0" applyProtection="0"/>
    <xf numFmtId="0" fontId="41" fillId="14" borderId="0" applyNumberFormat="0" applyBorder="0" applyAlignment="0" applyProtection="0"/>
    <xf numFmtId="0" fontId="41" fillId="14" borderId="0" applyNumberFormat="0" applyBorder="0" applyAlignment="0" applyProtection="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2" fillId="0" borderId="0"/>
    <xf numFmtId="0" fontId="15" fillId="0" borderId="0"/>
    <xf numFmtId="0" fontId="2" fillId="0" borderId="0"/>
    <xf numFmtId="0" fontId="1" fillId="0" borderId="0"/>
    <xf numFmtId="0" fontId="1" fillId="0" borderId="0"/>
    <xf numFmtId="0" fontId="2" fillId="7" borderId="9" applyNumberFormat="0" applyFont="0" applyAlignment="0" applyProtection="0"/>
    <xf numFmtId="0" fontId="1" fillId="7" borderId="9" applyNumberFormat="0" applyFont="0" applyAlignment="0" applyProtection="0"/>
    <xf numFmtId="0" fontId="2" fillId="7" borderId="9" applyNumberFormat="0" applyFont="0" applyAlignment="0" applyProtection="0"/>
    <xf numFmtId="0" fontId="13" fillId="3" borderId="10" applyNumberFormat="0" applyAlignment="0" applyProtection="0"/>
    <xf numFmtId="0" fontId="13" fillId="11" borderId="1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168" fontId="30" fillId="0" borderId="0"/>
    <xf numFmtId="0" fontId="13" fillId="11" borderId="10" applyNumberFormat="0" applyAlignment="0" applyProtection="0"/>
    <xf numFmtId="11" fontId="30" fillId="0" borderId="0" applyFont="0" applyFill="0" applyBorder="0" applyAlignment="0" applyProtection="0"/>
    <xf numFmtId="0" fontId="4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3" fillId="0" borderId="4" applyNumberFormat="0" applyFill="0" applyAlignment="0" applyProtection="0"/>
    <xf numFmtId="0" fontId="38" fillId="0" borderId="6" applyNumberFormat="0" applyFill="0" applyAlignment="0" applyProtection="0"/>
    <xf numFmtId="0" fontId="34" fillId="0" borderId="7" applyNumberFormat="0" applyFill="0" applyAlignment="0" applyProtection="0"/>
    <xf numFmtId="0" fontId="6" fillId="0" borderId="12" applyNumberFormat="0" applyFill="0" applyAlignment="0" applyProtection="0"/>
    <xf numFmtId="0" fontId="6"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 fillId="0" borderId="0"/>
  </cellStyleXfs>
  <cellXfs count="196">
    <xf numFmtId="0" fontId="0" fillId="0" borderId="0" xfId="0"/>
    <xf numFmtId="0" fontId="0" fillId="27" borderId="0" xfId="0" applyFill="1"/>
    <xf numFmtId="0" fontId="0" fillId="27" borderId="0" xfId="0" applyFill="1" applyBorder="1"/>
    <xf numFmtId="0" fontId="16" fillId="0" borderId="0" xfId="0" applyFont="1"/>
    <xf numFmtId="3" fontId="9" fillId="27" borderId="13" xfId="0" applyNumberFormat="1" applyFont="1" applyFill="1" applyBorder="1" applyAlignment="1">
      <alignment horizontal="center" vertical="center"/>
    </xf>
    <xf numFmtId="0" fontId="5" fillId="0" borderId="0" xfId="0" applyFont="1"/>
    <xf numFmtId="0" fontId="8" fillId="0" borderId="14" xfId="0" applyFont="1" applyBorder="1" applyAlignment="1">
      <alignment horizontal="center"/>
    </xf>
    <xf numFmtId="0" fontId="14" fillId="0" borderId="0" xfId="0" applyFont="1"/>
    <xf numFmtId="0" fontId="8" fillId="27" borderId="14" xfId="0" applyFont="1" applyFill="1" applyBorder="1" applyAlignment="1">
      <alignment horizontal="center" vertical="center" wrapText="1"/>
    </xf>
    <xf numFmtId="3" fontId="2" fillId="27" borderId="13" xfId="0" applyNumberFormat="1" applyFont="1" applyFill="1" applyBorder="1" applyAlignment="1">
      <alignment horizontal="center" vertical="center"/>
    </xf>
    <xf numFmtId="0" fontId="14" fillId="0" borderId="16" xfId="0" applyFont="1" applyBorder="1"/>
    <xf numFmtId="0" fontId="18" fillId="27" borderId="0" xfId="0" applyFont="1" applyFill="1"/>
    <xf numFmtId="0" fontId="19" fillId="27" borderId="0" xfId="0" applyFont="1" applyFill="1"/>
    <xf numFmtId="0" fontId="10" fillId="27" borderId="0" xfId="0" applyFont="1" applyFill="1"/>
    <xf numFmtId="0" fontId="20" fillId="27" borderId="0" xfId="0" applyFont="1" applyFill="1"/>
    <xf numFmtId="0" fontId="21" fillId="27" borderId="0" xfId="0" applyFont="1" applyFill="1"/>
    <xf numFmtId="0" fontId="2" fillId="27" borderId="0" xfId="0" applyFont="1" applyFill="1"/>
    <xf numFmtId="0" fontId="22" fillId="27" borderId="0" xfId="0" applyFont="1" applyFill="1"/>
    <xf numFmtId="0" fontId="3" fillId="27" borderId="0" xfId="0" applyFont="1" applyFill="1"/>
    <xf numFmtId="0" fontId="23" fillId="27" borderId="0" xfId="104" applyFont="1" applyFill="1" applyAlignment="1" applyProtection="1"/>
    <xf numFmtId="0" fontId="2" fillId="27" borderId="0" xfId="104" applyFont="1" applyFill="1" applyAlignment="1" applyProtection="1"/>
    <xf numFmtId="0" fontId="2" fillId="28" borderId="0" xfId="0" applyFont="1" applyFill="1"/>
    <xf numFmtId="0" fontId="2" fillId="29" borderId="0" xfId="0" applyFont="1" applyFill="1"/>
    <xf numFmtId="0" fontId="4" fillId="27" borderId="0" xfId="0" applyFont="1" applyFill="1" applyAlignment="1">
      <alignment vertical="top" wrapText="1"/>
    </xf>
    <xf numFmtId="0" fontId="2" fillId="30" borderId="0" xfId="0" applyFont="1" applyFill="1"/>
    <xf numFmtId="0" fontId="2" fillId="27" borderId="0" xfId="0" applyFont="1" applyFill="1" applyAlignment="1">
      <alignment vertical="top"/>
    </xf>
    <xf numFmtId="0" fontId="2" fillId="27" borderId="0" xfId="0" applyFont="1" applyFill="1" applyAlignment="1">
      <alignment vertical="top" wrapText="1"/>
    </xf>
    <xf numFmtId="0" fontId="9" fillId="27" borderId="0" xfId="0" applyFont="1" applyFill="1" applyAlignment="1">
      <alignment vertical="top" wrapText="1"/>
    </xf>
    <xf numFmtId="2" fontId="24" fillId="0" borderId="0" xfId="0" applyNumberFormat="1" applyFont="1" applyAlignment="1">
      <alignment horizontal="left"/>
    </xf>
    <xf numFmtId="0" fontId="47" fillId="27" borderId="0" xfId="104" applyFill="1" applyAlignment="1" applyProtection="1"/>
    <xf numFmtId="0" fontId="8" fillId="27" borderId="17" xfId="0" applyFont="1" applyFill="1" applyBorder="1" applyAlignment="1">
      <alignment horizontal="center" vertical="center" wrapText="1"/>
    </xf>
    <xf numFmtId="0" fontId="5" fillId="0" borderId="15" xfId="0" applyFont="1" applyBorder="1"/>
    <xf numFmtId="0" fontId="5" fillId="0" borderId="13" xfId="0" applyFont="1" applyBorder="1"/>
    <xf numFmtId="0" fontId="5" fillId="0" borderId="18" xfId="0" applyFont="1" applyBorder="1"/>
    <xf numFmtId="0" fontId="5" fillId="0" borderId="14" xfId="0" applyFont="1" applyBorder="1"/>
    <xf numFmtId="0" fontId="16" fillId="31" borderId="0" xfId="0" applyFont="1" applyFill="1"/>
    <xf numFmtId="0" fontId="16" fillId="32" borderId="0" xfId="0" applyFont="1" applyFill="1"/>
    <xf numFmtId="3" fontId="2" fillId="27" borderId="15" xfId="0" applyNumberFormat="1" applyFont="1" applyFill="1" applyBorder="1" applyAlignment="1">
      <alignment horizontal="center" vertical="center"/>
    </xf>
    <xf numFmtId="3" fontId="2" fillId="27" borderId="18" xfId="0" applyNumberFormat="1" applyFont="1" applyFill="1" applyBorder="1" applyAlignment="1">
      <alignment horizontal="center" vertical="center"/>
    </xf>
    <xf numFmtId="0" fontId="8" fillId="0" borderId="14" xfId="0" applyFont="1" applyBorder="1"/>
    <xf numFmtId="0" fontId="5" fillId="0" borderId="16" xfId="0" applyFont="1" applyBorder="1"/>
    <xf numFmtId="9" fontId="17" fillId="0" borderId="15" xfId="0" applyNumberFormat="1" applyFont="1" applyBorder="1" applyAlignment="1">
      <alignment horizontal="center"/>
    </xf>
    <xf numFmtId="3" fontId="17" fillId="27" borderId="13" xfId="0" applyNumberFormat="1" applyFont="1" applyFill="1" applyBorder="1" applyAlignment="1">
      <alignment horizontal="center" vertical="center"/>
    </xf>
    <xf numFmtId="0" fontId="5" fillId="0" borderId="19" xfId="0" applyFont="1" applyBorder="1"/>
    <xf numFmtId="166" fontId="5" fillId="0" borderId="18" xfId="0" applyNumberFormat="1" applyFont="1" applyBorder="1" applyAlignment="1">
      <alignment horizontal="center"/>
    </xf>
    <xf numFmtId="164" fontId="17" fillId="27" borderId="14" xfId="0" applyNumberFormat="1" applyFont="1" applyFill="1" applyBorder="1" applyAlignment="1">
      <alignment horizontal="center" vertical="center"/>
    </xf>
    <xf numFmtId="2" fontId="5" fillId="0" borderId="14" xfId="0" applyNumberFormat="1" applyFont="1" applyBorder="1" applyAlignment="1">
      <alignment horizontal="center"/>
    </xf>
    <xf numFmtId="0" fontId="14" fillId="0" borderId="0" xfId="0" applyFont="1" applyBorder="1"/>
    <xf numFmtId="10" fontId="14" fillId="0" borderId="20" xfId="0" applyNumberFormat="1" applyFont="1" applyBorder="1" applyAlignment="1">
      <alignment horizontal="center"/>
    </xf>
    <xf numFmtId="10" fontId="14" fillId="0" borderId="0" xfId="0" applyNumberFormat="1" applyFont="1" applyBorder="1" applyAlignment="1">
      <alignment horizontal="center"/>
    </xf>
    <xf numFmtId="10" fontId="14" fillId="0" borderId="21" xfId="0" applyNumberFormat="1" applyFont="1" applyBorder="1" applyAlignment="1">
      <alignment horizontal="center"/>
    </xf>
    <xf numFmtId="0" fontId="8" fillId="0" borderId="0" xfId="0" applyFont="1" applyAlignment="1">
      <alignment horizontal="center"/>
    </xf>
    <xf numFmtId="0" fontId="5" fillId="0" borderId="22" xfId="0" applyFont="1" applyBorder="1"/>
    <xf numFmtId="0" fontId="5" fillId="0" borderId="23" xfId="0" applyFont="1" applyBorder="1" applyAlignment="1">
      <alignment horizontal="center"/>
    </xf>
    <xf numFmtId="165" fontId="14" fillId="0" borderId="24" xfId="0" applyNumberFormat="1" applyFont="1" applyBorder="1" applyAlignment="1">
      <alignment horizontal="center"/>
    </xf>
    <xf numFmtId="0" fontId="14" fillId="0" borderId="19" xfId="0" applyFont="1" applyBorder="1"/>
    <xf numFmtId="0" fontId="14" fillId="0" borderId="21" xfId="0" applyFont="1" applyBorder="1"/>
    <xf numFmtId="0" fontId="14" fillId="0" borderId="25" xfId="0" applyFont="1" applyBorder="1"/>
    <xf numFmtId="0" fontId="14" fillId="0" borderId="26" xfId="0" applyFont="1" applyBorder="1"/>
    <xf numFmtId="2" fontId="14" fillId="0" borderId="26" xfId="0" applyNumberFormat="1" applyFont="1" applyBorder="1" applyAlignment="1">
      <alignment horizontal="center"/>
    </xf>
    <xf numFmtId="0" fontId="9" fillId="0" borderId="13" xfId="0" applyFont="1" applyBorder="1" applyAlignment="1">
      <alignment horizontal="center"/>
    </xf>
    <xf numFmtId="0" fontId="43" fillId="0" borderId="18" xfId="0" applyFont="1" applyBorder="1"/>
    <xf numFmtId="0" fontId="14" fillId="0" borderId="13" xfId="0" applyFont="1" applyBorder="1"/>
    <xf numFmtId="0" fontId="8" fillId="27" borderId="25" xfId="0" applyFont="1" applyFill="1" applyBorder="1" applyAlignment="1">
      <alignment horizontal="center" vertical="center" wrapText="1"/>
    </xf>
    <xf numFmtId="0" fontId="17" fillId="0" borderId="0" xfId="0" applyFont="1" applyBorder="1"/>
    <xf numFmtId="3" fontId="9" fillId="27" borderId="22" xfId="0" applyNumberFormat="1" applyFont="1" applyFill="1" applyBorder="1" applyAlignment="1">
      <alignment horizontal="center" vertical="center"/>
    </xf>
    <xf numFmtId="165" fontId="14" fillId="0" borderId="16" xfId="0" applyNumberFormat="1" applyFont="1" applyBorder="1" applyAlignment="1">
      <alignment horizontal="center"/>
    </xf>
    <xf numFmtId="0" fontId="9" fillId="0" borderId="22" xfId="0" applyFont="1" applyBorder="1"/>
    <xf numFmtId="2" fontId="14" fillId="0" borderId="19" xfId="0" applyNumberFormat="1" applyFont="1" applyBorder="1" applyAlignment="1">
      <alignment horizontal="center"/>
    </xf>
    <xf numFmtId="167" fontId="9" fillId="0" borderId="15" xfId="0" applyNumberFormat="1" applyFont="1" applyBorder="1" applyAlignment="1">
      <alignment horizontal="center"/>
    </xf>
    <xf numFmtId="0" fontId="5" fillId="27" borderId="0" xfId="0" applyFont="1" applyFill="1"/>
    <xf numFmtId="0" fontId="2" fillId="27" borderId="0" xfId="0" applyFont="1" applyFill="1" applyBorder="1" applyAlignment="1">
      <alignment vertical="top"/>
    </xf>
    <xf numFmtId="0" fontId="48" fillId="27" borderId="0" xfId="0" applyFont="1" applyFill="1" applyBorder="1"/>
    <xf numFmtId="0" fontId="3" fillId="27" borderId="0" xfId="0" applyFont="1" applyFill="1" applyBorder="1"/>
    <xf numFmtId="0" fontId="2" fillId="27" borderId="0" xfId="0" applyFont="1" applyFill="1" applyBorder="1" applyAlignment="1">
      <alignment wrapText="1"/>
    </xf>
    <xf numFmtId="0" fontId="2" fillId="27" borderId="0" xfId="0" applyFont="1" applyFill="1" applyAlignment="1"/>
    <xf numFmtId="0" fontId="2" fillId="27" borderId="0" xfId="0" applyFont="1" applyFill="1" applyBorder="1"/>
    <xf numFmtId="0" fontId="48" fillId="27" borderId="0" xfId="0" applyFont="1" applyFill="1"/>
    <xf numFmtId="0" fontId="8" fillId="0" borderId="0" xfId="0" applyFont="1"/>
    <xf numFmtId="0" fontId="5" fillId="0" borderId="25" xfId="0" applyFont="1" applyBorder="1"/>
    <xf numFmtId="0" fontId="17" fillId="0" borderId="15" xfId="0" applyFont="1" applyBorder="1"/>
    <xf numFmtId="0" fontId="17" fillId="0" borderId="13" xfId="0" applyFont="1" applyBorder="1"/>
    <xf numFmtId="0" fontId="17" fillId="0" borderId="18" xfId="0" applyFont="1" applyBorder="1"/>
    <xf numFmtId="164" fontId="49" fillId="27" borderId="14" xfId="0" applyNumberFormat="1" applyFont="1" applyFill="1" applyBorder="1" applyAlignment="1">
      <alignment horizontal="center" vertical="center"/>
    </xf>
    <xf numFmtId="0" fontId="9" fillId="0" borderId="18" xfId="0" applyFont="1" applyBorder="1" applyAlignment="1">
      <alignment horizontal="center"/>
    </xf>
    <xf numFmtId="4" fontId="9" fillId="27" borderId="15" xfId="0" applyNumberFormat="1" applyFont="1" applyFill="1" applyBorder="1" applyAlignment="1">
      <alignment horizontal="center" vertical="center"/>
    </xf>
    <xf numFmtId="0" fontId="9" fillId="0" borderId="22" xfId="0" applyFont="1" applyBorder="1" applyAlignment="1">
      <alignment horizontal="center"/>
    </xf>
    <xf numFmtId="0" fontId="8" fillId="0" borderId="14" xfId="0" applyFont="1" applyBorder="1" applyAlignment="1">
      <alignment horizontal="center" wrapText="1"/>
    </xf>
    <xf numFmtId="0" fontId="5" fillId="27" borderId="13" xfId="0" applyFont="1" applyFill="1" applyBorder="1" applyAlignment="1">
      <alignment vertical="center"/>
    </xf>
    <xf numFmtId="0" fontId="5" fillId="27" borderId="13" xfId="168" applyFont="1" applyFill="1" applyBorder="1"/>
    <xf numFmtId="0" fontId="5" fillId="27" borderId="18" xfId="168" applyFont="1" applyFill="1" applyBorder="1" applyAlignment="1">
      <alignment horizontal="left"/>
    </xf>
    <xf numFmtId="0" fontId="16" fillId="0" borderId="0" xfId="168" applyFont="1"/>
    <xf numFmtId="3" fontId="24" fillId="0" borderId="13" xfId="0" applyNumberFormat="1" applyFont="1" applyBorder="1" applyAlignment="1" applyProtection="1">
      <alignment horizontal="right"/>
      <protection locked="0"/>
    </xf>
    <xf numFmtId="4" fontId="24" fillId="0" borderId="13" xfId="0" applyNumberFormat="1" applyFont="1" applyBorder="1" applyAlignment="1" applyProtection="1">
      <alignment horizontal="right"/>
      <protection locked="0"/>
    </xf>
    <xf numFmtId="170" fontId="24" fillId="0" borderId="13" xfId="81" applyNumberFormat="1" applyFont="1" applyFill="1" applyBorder="1" applyAlignment="1">
      <alignment horizontal="right"/>
    </xf>
    <xf numFmtId="4" fontId="24" fillId="0" borderId="18" xfId="0" applyNumberFormat="1" applyFont="1" applyBorder="1" applyAlignment="1" applyProtection="1">
      <alignment horizontal="right"/>
      <protection locked="0"/>
    </xf>
    <xf numFmtId="0" fontId="8" fillId="27" borderId="28" xfId="168" applyFont="1" applyFill="1" applyBorder="1"/>
    <xf numFmtId="0" fontId="8" fillId="27" borderId="29" xfId="168" applyFont="1" applyFill="1" applyBorder="1"/>
    <xf numFmtId="0" fontId="5" fillId="0" borderId="18" xfId="0" applyFont="1" applyBorder="1" applyAlignment="1">
      <alignment horizontal="left"/>
    </xf>
    <xf numFmtId="2" fontId="24" fillId="27" borderId="18" xfId="0" applyNumberFormat="1" applyFont="1" applyFill="1" applyBorder="1" applyAlignment="1">
      <alignment vertical="center"/>
    </xf>
    <xf numFmtId="0" fontId="5" fillId="0" borderId="18" xfId="0" applyFont="1" applyBorder="1" applyAlignment="1">
      <alignment horizontal="left" indent="2"/>
    </xf>
    <xf numFmtId="0" fontId="5" fillId="0" borderId="13" xfId="0" applyFont="1" applyBorder="1" applyAlignment="1">
      <alignment horizontal="left"/>
    </xf>
    <xf numFmtId="2" fontId="24" fillId="27" borderId="13" xfId="0" applyNumberFormat="1" applyFont="1" applyFill="1" applyBorder="1" applyAlignment="1">
      <alignment vertical="center"/>
    </xf>
    <xf numFmtId="0" fontId="5" fillId="0" borderId="13" xfId="0" applyFont="1" applyBorder="1" applyAlignment="1">
      <alignment horizontal="left" indent="2"/>
    </xf>
    <xf numFmtId="167" fontId="17" fillId="0" borderId="15" xfId="0" applyNumberFormat="1" applyFont="1" applyBorder="1" applyAlignment="1">
      <alignment horizontal="center"/>
    </xf>
    <xf numFmtId="4" fontId="24" fillId="0" borderId="13" xfId="81" applyNumberFormat="1" applyFont="1" applyFill="1" applyBorder="1" applyAlignment="1">
      <alignment horizontal="right"/>
    </xf>
    <xf numFmtId="4" fontId="9" fillId="27" borderId="20" xfId="0" applyNumberFormat="1" applyFont="1" applyFill="1" applyBorder="1" applyAlignment="1">
      <alignment horizontal="center" vertical="center"/>
    </xf>
    <xf numFmtId="0" fontId="3" fillId="0" borderId="14" xfId="0" applyFont="1" applyBorder="1" applyAlignment="1">
      <alignment horizontal="center"/>
    </xf>
    <xf numFmtId="0" fontId="0" fillId="0" borderId="26"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3" fontId="0" fillId="0" borderId="0" xfId="0" applyNumberFormat="1" applyAlignment="1">
      <alignment horizontal="center"/>
    </xf>
    <xf numFmtId="171" fontId="0" fillId="0" borderId="0" xfId="0" applyNumberFormat="1" applyAlignment="1">
      <alignment horizontal="center"/>
    </xf>
    <xf numFmtId="3" fontId="0" fillId="0" borderId="24" xfId="0" applyNumberFormat="1" applyBorder="1" applyAlignment="1">
      <alignment horizontal="center"/>
    </xf>
    <xf numFmtId="172" fontId="0" fillId="0" borderId="0" xfId="0" applyNumberFormat="1" applyAlignment="1">
      <alignment horizontal="center"/>
    </xf>
    <xf numFmtId="171" fontId="0" fillId="0" borderId="24" xfId="0" applyNumberFormat="1" applyBorder="1" applyAlignment="1">
      <alignment horizontal="center"/>
    </xf>
    <xf numFmtId="0" fontId="0" fillId="0" borderId="18" xfId="0" applyBorder="1" applyAlignment="1">
      <alignment horizontal="center"/>
    </xf>
    <xf numFmtId="172" fontId="0" fillId="0" borderId="21" xfId="0" applyNumberFormat="1" applyBorder="1" applyAlignment="1">
      <alignment horizontal="center"/>
    </xf>
    <xf numFmtId="171" fontId="0" fillId="0" borderId="21" xfId="0" applyNumberFormat="1" applyBorder="1" applyAlignment="1">
      <alignment horizontal="center"/>
    </xf>
    <xf numFmtId="3" fontId="0" fillId="0" borderId="27" xfId="0" applyNumberFormat="1" applyBorder="1" applyAlignment="1">
      <alignment horizontal="center"/>
    </xf>
    <xf numFmtId="0" fontId="0" fillId="0" borderId="0" xfId="0" applyAlignment="1">
      <alignment horizontal="center"/>
    </xf>
    <xf numFmtId="173" fontId="0" fillId="0" borderId="0" xfId="0" applyNumberFormat="1" applyAlignment="1">
      <alignment horizontal="center"/>
    </xf>
    <xf numFmtId="174" fontId="0" fillId="0" borderId="0" xfId="0" applyNumberFormat="1" applyAlignment="1">
      <alignment horizontal="center"/>
    </xf>
    <xf numFmtId="166" fontId="0" fillId="0" borderId="0" xfId="0" applyNumberFormat="1" applyAlignment="1">
      <alignment horizontal="center"/>
    </xf>
    <xf numFmtId="166" fontId="0" fillId="0" borderId="24" xfId="0" applyNumberFormat="1" applyBorder="1" applyAlignment="1">
      <alignment horizontal="center"/>
    </xf>
    <xf numFmtId="164" fontId="0" fillId="0" borderId="0" xfId="0" applyNumberFormat="1" applyAlignment="1">
      <alignment horizontal="center"/>
    </xf>
    <xf numFmtId="164" fontId="0" fillId="0" borderId="21" xfId="0" applyNumberFormat="1" applyBorder="1" applyAlignment="1">
      <alignment horizontal="center"/>
    </xf>
    <xf numFmtId="0" fontId="0" fillId="0" borderId="24" xfId="0" applyBorder="1"/>
    <xf numFmtId="170" fontId="0" fillId="0" borderId="0" xfId="0" applyNumberFormat="1" applyAlignment="1">
      <alignment horizontal="center"/>
    </xf>
    <xf numFmtId="175" fontId="0" fillId="0" borderId="0" xfId="0" applyNumberFormat="1" applyAlignment="1">
      <alignment horizontal="center"/>
    </xf>
    <xf numFmtId="176" fontId="0" fillId="0" borderId="0" xfId="0" applyNumberFormat="1" applyAlignment="1">
      <alignment horizontal="center"/>
    </xf>
    <xf numFmtId="177" fontId="0" fillId="0" borderId="0" xfId="0" applyNumberFormat="1" applyAlignment="1">
      <alignment horizontal="center"/>
    </xf>
    <xf numFmtId="0" fontId="0" fillId="0" borderId="21" xfId="0" applyBorder="1"/>
    <xf numFmtId="0" fontId="0" fillId="0" borderId="27" xfId="0" applyBorder="1"/>
    <xf numFmtId="3" fontId="49" fillId="27" borderId="13" xfId="0" applyNumberFormat="1" applyFont="1" applyFill="1" applyBorder="1" applyAlignment="1">
      <alignment horizontal="center" vertical="center"/>
    </xf>
    <xf numFmtId="4" fontId="9" fillId="0" borderId="19" xfId="0" applyNumberFormat="1" applyFont="1" applyBorder="1" applyAlignment="1">
      <alignment horizontal="center"/>
    </xf>
    <xf numFmtId="4" fontId="17" fillId="27" borderId="14" xfId="0" applyNumberFormat="1" applyFont="1" applyFill="1" applyBorder="1" applyAlignment="1">
      <alignment horizontal="center" vertical="center"/>
    </xf>
    <xf numFmtId="4" fontId="17" fillId="27" borderId="25" xfId="0" applyNumberFormat="1" applyFont="1" applyFill="1" applyBorder="1" applyAlignment="1">
      <alignment horizontal="center" vertical="center"/>
    </xf>
    <xf numFmtId="4" fontId="5" fillId="0" borderId="14" xfId="0" applyNumberFormat="1" applyFont="1" applyBorder="1" applyAlignment="1">
      <alignment horizontal="center"/>
    </xf>
    <xf numFmtId="4" fontId="14" fillId="0" borderId="24" xfId="0" applyNumberFormat="1" applyFont="1" applyBorder="1" applyAlignment="1">
      <alignment horizontal="center"/>
    </xf>
    <xf numFmtId="4" fontId="14" fillId="0" borderId="27" xfId="0" applyNumberFormat="1" applyFont="1" applyBorder="1" applyAlignment="1">
      <alignment horizontal="center"/>
    </xf>
    <xf numFmtId="4" fontId="14" fillId="0" borderId="16" xfId="0" applyNumberFormat="1" applyFont="1" applyBorder="1" applyAlignment="1">
      <alignment horizontal="center"/>
    </xf>
    <xf numFmtId="4" fontId="14" fillId="0" borderId="25" xfId="0" applyNumberFormat="1" applyFont="1" applyBorder="1" applyAlignment="1">
      <alignment horizontal="center"/>
    </xf>
    <xf numFmtId="170" fontId="24" fillId="0" borderId="13" xfId="0" applyNumberFormat="1" applyFont="1" applyBorder="1" applyAlignment="1" applyProtection="1">
      <alignment horizontal="right"/>
      <protection locked="0"/>
    </xf>
    <xf numFmtId="0" fontId="5" fillId="27" borderId="14" xfId="168" applyFont="1" applyFill="1" applyBorder="1" applyAlignment="1">
      <alignment horizontal="left"/>
    </xf>
    <xf numFmtId="4" fontId="2" fillId="27" borderId="14" xfId="81" applyNumberFormat="1" applyFont="1" applyFill="1" applyBorder="1" applyAlignment="1">
      <alignment horizontal="right"/>
    </xf>
    <xf numFmtId="0" fontId="5" fillId="0" borderId="0" xfId="0" applyFont="1" applyFill="1" applyBorder="1" applyAlignment="1">
      <alignment horizontal="left"/>
    </xf>
    <xf numFmtId="0" fontId="50" fillId="0" borderId="0" xfId="0" applyFont="1"/>
    <xf numFmtId="0" fontId="51" fillId="0" borderId="0" xfId="0" applyFont="1"/>
    <xf numFmtId="0" fontId="16" fillId="32" borderId="0" xfId="0" applyFont="1" applyFill="1" applyAlignment="1">
      <alignment horizontal="center"/>
    </xf>
    <xf numFmtId="0" fontId="8" fillId="0" borderId="14" xfId="0" applyFont="1" applyBorder="1" applyAlignment="1">
      <alignment wrapText="1"/>
    </xf>
    <xf numFmtId="4" fontId="17" fillId="0" borderId="21" xfId="0" applyNumberFormat="1" applyFont="1" applyBorder="1" applyAlignment="1">
      <alignment horizontal="center"/>
    </xf>
    <xf numFmtId="10" fontId="5" fillId="0" borderId="18" xfId="0" applyNumberFormat="1" applyFont="1" applyBorder="1" applyAlignment="1">
      <alignment horizontal="center"/>
    </xf>
    <xf numFmtId="4" fontId="9" fillId="0" borderId="13" xfId="0" applyNumberFormat="1" applyFont="1" applyBorder="1" applyAlignment="1">
      <alignment horizontal="center"/>
    </xf>
    <xf numFmtId="3" fontId="2" fillId="27" borderId="16" xfId="0" applyNumberFormat="1" applyFont="1" applyFill="1" applyBorder="1" applyAlignment="1">
      <alignment horizontal="center" vertical="center"/>
    </xf>
    <xf numFmtId="4" fontId="2" fillId="27" borderId="16" xfId="0" applyNumberFormat="1" applyFont="1" applyFill="1" applyBorder="1" applyAlignment="1">
      <alignment horizontal="center" vertical="center"/>
    </xf>
    <xf numFmtId="10" fontId="16" fillId="0" borderId="0" xfId="0" applyNumberFormat="1" applyFont="1"/>
    <xf numFmtId="4" fontId="16" fillId="0" borderId="0" xfId="0" applyNumberFormat="1" applyFont="1"/>
    <xf numFmtId="178" fontId="16" fillId="0" borderId="0" xfId="0" applyNumberFormat="1" applyFont="1"/>
    <xf numFmtId="3" fontId="16" fillId="0" borderId="0" xfId="0" applyNumberFormat="1" applyFont="1"/>
    <xf numFmtId="178" fontId="5" fillId="0" borderId="0" xfId="0" applyNumberFormat="1" applyFont="1"/>
    <xf numFmtId="4" fontId="2" fillId="27" borderId="13" xfId="0" applyNumberFormat="1" applyFont="1" applyFill="1" applyBorder="1" applyAlignment="1">
      <alignment horizontal="center" vertical="center"/>
    </xf>
    <xf numFmtId="4" fontId="17" fillId="27" borderId="13" xfId="0" applyNumberFormat="1" applyFont="1" applyFill="1" applyBorder="1" applyAlignment="1">
      <alignment horizontal="center" vertical="center"/>
    </xf>
    <xf numFmtId="4" fontId="14" fillId="0" borderId="26" xfId="0" applyNumberFormat="1" applyFont="1" applyBorder="1" applyAlignment="1">
      <alignment horizontal="center"/>
    </xf>
    <xf numFmtId="4" fontId="49" fillId="27" borderId="15" xfId="0" applyNumberFormat="1" applyFont="1" applyFill="1" applyBorder="1" applyAlignment="1">
      <alignment horizontal="center" vertical="center"/>
    </xf>
    <xf numFmtId="4" fontId="2" fillId="0" borderId="18" xfId="0" applyNumberFormat="1" applyFont="1" applyBorder="1" applyAlignment="1">
      <alignment horizontal="center"/>
    </xf>
    <xf numFmtId="0" fontId="2" fillId="33" borderId="0" xfId="0" applyFont="1" applyFill="1"/>
    <xf numFmtId="179" fontId="16" fillId="0" borderId="0" xfId="0" applyNumberFormat="1" applyFont="1"/>
    <xf numFmtId="4" fontId="2" fillId="27" borderId="15" xfId="0" applyNumberFormat="1" applyFont="1" applyFill="1" applyBorder="1" applyAlignment="1">
      <alignment horizontal="center" vertical="center"/>
    </xf>
    <xf numFmtId="4" fontId="2" fillId="27" borderId="18" xfId="0" applyNumberFormat="1" applyFont="1" applyFill="1" applyBorder="1" applyAlignment="1">
      <alignment horizontal="center" vertical="center"/>
    </xf>
    <xf numFmtId="172" fontId="16" fillId="0" borderId="0" xfId="0" applyNumberFormat="1" applyFont="1"/>
    <xf numFmtId="180" fontId="16" fillId="0" borderId="0" xfId="0" applyNumberFormat="1" applyFont="1"/>
    <xf numFmtId="9" fontId="16" fillId="0" borderId="0" xfId="0" applyNumberFormat="1" applyFont="1"/>
    <xf numFmtId="2" fontId="49" fillId="0" borderId="26" xfId="0" applyNumberFormat="1" applyFont="1" applyBorder="1" applyAlignment="1">
      <alignment horizontal="center"/>
    </xf>
    <xf numFmtId="181" fontId="16" fillId="0" borderId="0" xfId="0" applyNumberFormat="1" applyFont="1"/>
    <xf numFmtId="4" fontId="49" fillId="0" borderId="19" xfId="0" applyNumberFormat="1" applyFont="1" applyBorder="1" applyAlignment="1">
      <alignment horizontal="center"/>
    </xf>
    <xf numFmtId="4" fontId="49" fillId="0" borderId="18" xfId="0" applyNumberFormat="1" applyFont="1" applyBorder="1" applyAlignment="1">
      <alignment horizontal="center"/>
    </xf>
    <xf numFmtId="4" fontId="2" fillId="0" borderId="27" xfId="0" applyNumberFormat="1" applyFont="1" applyBorder="1" applyAlignment="1">
      <alignment horizontal="center"/>
    </xf>
    <xf numFmtId="15" fontId="3" fillId="27" borderId="0" xfId="0" applyNumberFormat="1" applyFont="1" applyFill="1" applyAlignment="1">
      <alignment horizontal="left"/>
    </xf>
    <xf numFmtId="15" fontId="3" fillId="0" borderId="0" xfId="0" applyNumberFormat="1" applyFont="1"/>
    <xf numFmtId="4" fontId="16" fillId="0" borderId="0" xfId="0" applyNumberFormat="1" applyFont="1" applyAlignment="1">
      <alignment horizontal="center"/>
    </xf>
    <xf numFmtId="4" fontId="53" fillId="0" borderId="27" xfId="0" applyNumberFormat="1" applyFont="1" applyBorder="1" applyAlignment="1">
      <alignment horizontal="center"/>
    </xf>
    <xf numFmtId="2" fontId="53" fillId="0" borderId="17" xfId="0" applyNumberFormat="1" applyFont="1" applyBorder="1" applyAlignment="1">
      <alignment horizontal="center"/>
    </xf>
    <xf numFmtId="0" fontId="16" fillId="0" borderId="0" xfId="0" applyFont="1" applyBorder="1"/>
    <xf numFmtId="0" fontId="8" fillId="0" borderId="0" xfId="0" applyFont="1" applyBorder="1" applyAlignment="1">
      <alignment wrapText="1"/>
    </xf>
    <xf numFmtId="0" fontId="8" fillId="27" borderId="0" xfId="0" applyFont="1" applyFill="1" applyBorder="1" applyAlignment="1">
      <alignment horizontal="center" vertical="center" wrapText="1"/>
    </xf>
    <xf numFmtId="0" fontId="5" fillId="0" borderId="0" xfId="0" applyFont="1" applyBorder="1"/>
    <xf numFmtId="3" fontId="2" fillId="27" borderId="0" xfId="0" applyNumberFormat="1" applyFont="1" applyFill="1" applyBorder="1" applyAlignment="1">
      <alignment horizontal="center" vertical="center"/>
    </xf>
    <xf numFmtId="4" fontId="2" fillId="27" borderId="0" xfId="0" applyNumberFormat="1" applyFont="1" applyFill="1" applyBorder="1" applyAlignment="1">
      <alignment horizontal="center" vertical="center"/>
    </xf>
    <xf numFmtId="3" fontId="17" fillId="27" borderId="0" xfId="0" applyNumberFormat="1" applyFont="1" applyFill="1" applyBorder="1" applyAlignment="1">
      <alignment horizontal="center" vertical="center"/>
    </xf>
    <xf numFmtId="0" fontId="3" fillId="27" borderId="0" xfId="0" applyFont="1" applyFill="1" applyBorder="1" applyAlignment="1">
      <alignment wrapText="1"/>
    </xf>
    <xf numFmtId="0" fontId="2" fillId="27" borderId="0" xfId="0" applyFont="1" applyFill="1" applyAlignment="1"/>
    <xf numFmtId="0" fontId="2" fillId="27" borderId="0" xfId="0" applyFont="1" applyFill="1" applyAlignment="1">
      <alignment vertical="top" wrapText="1"/>
    </xf>
    <xf numFmtId="0" fontId="2" fillId="27" borderId="0" xfId="0" applyFont="1" applyFill="1" applyBorder="1" applyAlignment="1">
      <alignment wrapText="1"/>
    </xf>
    <xf numFmtId="0" fontId="9" fillId="27" borderId="0" xfId="0" applyFont="1" applyFill="1" applyAlignment="1">
      <alignment vertical="top" wrapText="1"/>
    </xf>
    <xf numFmtId="0" fontId="52" fillId="34" borderId="0" xfId="0" applyFont="1" applyFill="1" applyAlignment="1">
      <alignment horizontal="center"/>
    </xf>
  </cellXfs>
  <cellStyles count="16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Accent1 2" xfId="19" xr:uid="{00000000-0005-0000-0000-000012000000}"/>
    <cellStyle name="40% - Accent1 3" xfId="20" xr:uid="{00000000-0005-0000-0000-000013000000}"/>
    <cellStyle name="40% - Accent2 2" xfId="21" xr:uid="{00000000-0005-0000-0000-000014000000}"/>
    <cellStyle name="40% - Accent2 3" xfId="22" xr:uid="{00000000-0005-0000-0000-000015000000}"/>
    <cellStyle name="40% - Accent3 2" xfId="23" xr:uid="{00000000-0005-0000-0000-000016000000}"/>
    <cellStyle name="40% - Accent3 3" xfId="24" xr:uid="{00000000-0005-0000-0000-000017000000}"/>
    <cellStyle name="40% - Accent4 2" xfId="25" xr:uid="{00000000-0005-0000-0000-000018000000}"/>
    <cellStyle name="40% - Accent4 3" xfId="26" xr:uid="{00000000-0005-0000-0000-000019000000}"/>
    <cellStyle name="40% - Accent5 2" xfId="27" xr:uid="{00000000-0005-0000-0000-00001A000000}"/>
    <cellStyle name="40% - Accent5 3" xfId="28" xr:uid="{00000000-0005-0000-0000-00001B000000}"/>
    <cellStyle name="40% - Accent6 2" xfId="29" xr:uid="{00000000-0005-0000-0000-00001C000000}"/>
    <cellStyle name="40% - Accent6 3"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Accent1 2" xfId="37" xr:uid="{00000000-0005-0000-0000-000024000000}"/>
    <cellStyle name="60% - Accent1 3" xfId="38" xr:uid="{00000000-0005-0000-0000-000025000000}"/>
    <cellStyle name="60% - Accent2 2" xfId="39" xr:uid="{00000000-0005-0000-0000-000026000000}"/>
    <cellStyle name="60% - Accent2 3" xfId="40" xr:uid="{00000000-0005-0000-0000-000027000000}"/>
    <cellStyle name="60% - Accent3 2" xfId="41" xr:uid="{00000000-0005-0000-0000-000028000000}"/>
    <cellStyle name="60% - Accent3 3" xfId="42" xr:uid="{00000000-0005-0000-0000-000029000000}"/>
    <cellStyle name="60% - Accent4 2" xfId="43" xr:uid="{00000000-0005-0000-0000-00002A000000}"/>
    <cellStyle name="60% - Accent4 3" xfId="44" xr:uid="{00000000-0005-0000-0000-00002B000000}"/>
    <cellStyle name="60% - Accent5 2" xfId="45" xr:uid="{00000000-0005-0000-0000-00002C000000}"/>
    <cellStyle name="60% - Accent5 3" xfId="46" xr:uid="{00000000-0005-0000-0000-00002D000000}"/>
    <cellStyle name="60% - Accent6 2" xfId="47" xr:uid="{00000000-0005-0000-0000-00002E000000}"/>
    <cellStyle name="60% - Accent6 3"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2" xfId="55" xr:uid="{00000000-0005-0000-0000-000036000000}"/>
    <cellStyle name="Accent1 3" xfId="56" xr:uid="{00000000-0005-0000-0000-000037000000}"/>
    <cellStyle name="Accent2 2" xfId="57" xr:uid="{00000000-0005-0000-0000-000038000000}"/>
    <cellStyle name="Accent2 3" xfId="58" xr:uid="{00000000-0005-0000-0000-000039000000}"/>
    <cellStyle name="Accent3 2" xfId="59" xr:uid="{00000000-0005-0000-0000-00003A000000}"/>
    <cellStyle name="Accent3 3" xfId="60" xr:uid="{00000000-0005-0000-0000-00003B000000}"/>
    <cellStyle name="Accent4 2" xfId="61" xr:uid="{00000000-0005-0000-0000-00003C000000}"/>
    <cellStyle name="Accent4 3" xfId="62" xr:uid="{00000000-0005-0000-0000-00003D000000}"/>
    <cellStyle name="Accent5 2" xfId="63" xr:uid="{00000000-0005-0000-0000-00003E000000}"/>
    <cellStyle name="Accent5 3" xfId="64" xr:uid="{00000000-0005-0000-0000-00003F000000}"/>
    <cellStyle name="Accent6 2" xfId="65" xr:uid="{00000000-0005-0000-0000-000040000000}"/>
    <cellStyle name="Accent6 3" xfId="66" xr:uid="{00000000-0005-0000-0000-000041000000}"/>
    <cellStyle name="Bad 2" xfId="67" xr:uid="{00000000-0005-0000-0000-000042000000}"/>
    <cellStyle name="Bad 3" xfId="68" xr:uid="{00000000-0005-0000-0000-000043000000}"/>
    <cellStyle name="Buena" xfId="69" xr:uid="{00000000-0005-0000-0000-000044000000}"/>
    <cellStyle name="Calculation 2" xfId="70" xr:uid="{00000000-0005-0000-0000-000045000000}"/>
    <cellStyle name="Calculation 3" xfId="71" xr:uid="{00000000-0005-0000-0000-000046000000}"/>
    <cellStyle name="Cálculo" xfId="72" xr:uid="{00000000-0005-0000-0000-000047000000}"/>
    <cellStyle name="Celda de comprobación" xfId="73" xr:uid="{00000000-0005-0000-0000-000048000000}"/>
    <cellStyle name="Celda vinculada" xfId="74" xr:uid="{00000000-0005-0000-0000-000049000000}"/>
    <cellStyle name="Check Cell 2" xfId="75" xr:uid="{00000000-0005-0000-0000-00004A000000}"/>
    <cellStyle name="Check Cell 3" xfId="76" xr:uid="{00000000-0005-0000-0000-00004B000000}"/>
    <cellStyle name="Comma 2" xfId="77" xr:uid="{00000000-0005-0000-0000-00004C000000}"/>
    <cellStyle name="Comma 2 2" xfId="78" xr:uid="{00000000-0005-0000-0000-00004D000000}"/>
    <cellStyle name="Comma 2 3" xfId="79" xr:uid="{00000000-0005-0000-0000-00004E000000}"/>
    <cellStyle name="Comma 3" xfId="80" xr:uid="{00000000-0005-0000-0000-00004F000000}"/>
    <cellStyle name="Comma 7" xfId="81" xr:uid="{00000000-0005-0000-0000-000050000000}"/>
    <cellStyle name="Currency 2" xfId="82" xr:uid="{00000000-0005-0000-0000-000051000000}"/>
    <cellStyle name="Encabezado 4" xfId="83" xr:uid="{00000000-0005-0000-0000-000052000000}"/>
    <cellStyle name="Énfasis1" xfId="84" xr:uid="{00000000-0005-0000-0000-000053000000}"/>
    <cellStyle name="Énfasis2" xfId="85" xr:uid="{00000000-0005-0000-0000-000054000000}"/>
    <cellStyle name="Énfasis3" xfId="86" xr:uid="{00000000-0005-0000-0000-000055000000}"/>
    <cellStyle name="Énfasis4" xfId="87" xr:uid="{00000000-0005-0000-0000-000056000000}"/>
    <cellStyle name="Énfasis5" xfId="88" xr:uid="{00000000-0005-0000-0000-000057000000}"/>
    <cellStyle name="Énfasis6" xfId="89" xr:uid="{00000000-0005-0000-0000-000058000000}"/>
    <cellStyle name="Entrada" xfId="90" xr:uid="{00000000-0005-0000-0000-000059000000}"/>
    <cellStyle name="Euro" xfId="91" xr:uid="{00000000-0005-0000-0000-00005A000000}"/>
    <cellStyle name="Explanatory Text 2" xfId="92" xr:uid="{00000000-0005-0000-0000-00005B000000}"/>
    <cellStyle name="Explanatory Text 3" xfId="93" xr:uid="{00000000-0005-0000-0000-00005C000000}"/>
    <cellStyle name="Good 2" xfId="94" xr:uid="{00000000-0005-0000-0000-00005D000000}"/>
    <cellStyle name="Good 3" xfId="95" xr:uid="{00000000-0005-0000-0000-00005E000000}"/>
    <cellStyle name="Heading 1 2" xfId="96" xr:uid="{00000000-0005-0000-0000-00005F000000}"/>
    <cellStyle name="Heading 1 3" xfId="97" xr:uid="{00000000-0005-0000-0000-000060000000}"/>
    <cellStyle name="Heading 2 2" xfId="98" xr:uid="{00000000-0005-0000-0000-000061000000}"/>
    <cellStyle name="Heading 2 3" xfId="99" xr:uid="{00000000-0005-0000-0000-000062000000}"/>
    <cellStyle name="Heading 3 2" xfId="100" xr:uid="{00000000-0005-0000-0000-000063000000}"/>
    <cellStyle name="Heading 3 3" xfId="101" xr:uid="{00000000-0005-0000-0000-000064000000}"/>
    <cellStyle name="Heading 4 2" xfId="102" xr:uid="{00000000-0005-0000-0000-000065000000}"/>
    <cellStyle name="Heading 4 3" xfId="103" xr:uid="{00000000-0005-0000-0000-000066000000}"/>
    <cellStyle name="Hyperlink" xfId="104" builtinId="8"/>
    <cellStyle name="Hyperlink 10" xfId="105" xr:uid="{00000000-0005-0000-0000-000068000000}"/>
    <cellStyle name="Hyperlink 11" xfId="106" xr:uid="{00000000-0005-0000-0000-000069000000}"/>
    <cellStyle name="Hyperlink 2" xfId="107" xr:uid="{00000000-0005-0000-0000-00006A000000}"/>
    <cellStyle name="Hyperlink 3" xfId="108" xr:uid="{00000000-0005-0000-0000-00006B000000}"/>
    <cellStyle name="Hyperlink 4" xfId="109" xr:uid="{00000000-0005-0000-0000-00006C000000}"/>
    <cellStyle name="Hyperlink 5" xfId="110" xr:uid="{00000000-0005-0000-0000-00006D000000}"/>
    <cellStyle name="Hyperlink 6" xfId="111" xr:uid="{00000000-0005-0000-0000-00006E000000}"/>
    <cellStyle name="Hyperlink 7" xfId="112" xr:uid="{00000000-0005-0000-0000-00006F000000}"/>
    <cellStyle name="Hyperlink 8" xfId="113" xr:uid="{00000000-0005-0000-0000-000070000000}"/>
    <cellStyle name="Hyperlink 9" xfId="114" xr:uid="{00000000-0005-0000-0000-000071000000}"/>
    <cellStyle name="Incorrecto" xfId="115" xr:uid="{00000000-0005-0000-0000-000072000000}"/>
    <cellStyle name="Input 2" xfId="116" xr:uid="{00000000-0005-0000-0000-000073000000}"/>
    <cellStyle name="Input 3" xfId="117" xr:uid="{00000000-0005-0000-0000-000074000000}"/>
    <cellStyle name="Linked Cell 2" xfId="118" xr:uid="{00000000-0005-0000-0000-000075000000}"/>
    <cellStyle name="Linked Cell 3" xfId="119" xr:uid="{00000000-0005-0000-0000-000076000000}"/>
    <cellStyle name="Neutral 2" xfId="120" xr:uid="{00000000-0005-0000-0000-000077000000}"/>
    <cellStyle name="Neutral 3" xfId="121" xr:uid="{00000000-0005-0000-0000-000078000000}"/>
    <cellStyle name="Normal" xfId="0" builtinId="0"/>
    <cellStyle name="Normal 10" xfId="122" xr:uid="{00000000-0005-0000-0000-00007A000000}"/>
    <cellStyle name="Normal 19" xfId="123" xr:uid="{00000000-0005-0000-0000-00007B000000}"/>
    <cellStyle name="Normal 2" xfId="124" xr:uid="{00000000-0005-0000-0000-00007C000000}"/>
    <cellStyle name="Normal 2 10" xfId="125" xr:uid="{00000000-0005-0000-0000-00007D000000}"/>
    <cellStyle name="Normal 2 11" xfId="126" xr:uid="{00000000-0005-0000-0000-00007E000000}"/>
    <cellStyle name="Normal 2 12" xfId="127" xr:uid="{00000000-0005-0000-0000-00007F000000}"/>
    <cellStyle name="Normal 2 13" xfId="128" xr:uid="{00000000-0005-0000-0000-000080000000}"/>
    <cellStyle name="Normal 2 2" xfId="129" xr:uid="{00000000-0005-0000-0000-000081000000}"/>
    <cellStyle name="Normal 2 3" xfId="130" xr:uid="{00000000-0005-0000-0000-000082000000}"/>
    <cellStyle name="Normal 2 4" xfId="131" xr:uid="{00000000-0005-0000-0000-000083000000}"/>
    <cellStyle name="Normal 2 5" xfId="132" xr:uid="{00000000-0005-0000-0000-000084000000}"/>
    <cellStyle name="Normal 2 6" xfId="133" xr:uid="{00000000-0005-0000-0000-000085000000}"/>
    <cellStyle name="Normal 2 7" xfId="134" xr:uid="{00000000-0005-0000-0000-000086000000}"/>
    <cellStyle name="Normal 2 8" xfId="135" xr:uid="{00000000-0005-0000-0000-000087000000}"/>
    <cellStyle name="Normal 2 9" xfId="136" xr:uid="{00000000-0005-0000-0000-000088000000}"/>
    <cellStyle name="Normal 2_LCA_-_Land Fill LCI_v3" xfId="137" xr:uid="{00000000-0005-0000-0000-000089000000}"/>
    <cellStyle name="Normal 3" xfId="138" xr:uid="{00000000-0005-0000-0000-00008A000000}"/>
    <cellStyle name="Normal 4" xfId="139" xr:uid="{00000000-0005-0000-0000-00008B000000}"/>
    <cellStyle name="Normal 7" xfId="140" xr:uid="{00000000-0005-0000-0000-00008C000000}"/>
    <cellStyle name="Normal 9" xfId="141" xr:uid="{00000000-0005-0000-0000-00008D000000}"/>
    <cellStyle name="Normal 9 2" xfId="142" xr:uid="{00000000-0005-0000-0000-00008E000000}"/>
    <cellStyle name="Normal 9_Cellulosic Ethanol Disaggregation_data repository_v10" xfId="143" xr:uid="{00000000-0005-0000-0000-00008F000000}"/>
    <cellStyle name="Normal_Corn Ethanol GREET1_2011 Potato Chip_Corn Ethanol Disaggregation v22" xfId="168" xr:uid="{00000000-0005-0000-0000-000090000000}"/>
    <cellStyle name="Notas" xfId="144" xr:uid="{00000000-0005-0000-0000-000091000000}"/>
    <cellStyle name="Note 2" xfId="145" xr:uid="{00000000-0005-0000-0000-000092000000}"/>
    <cellStyle name="Note 3" xfId="146" xr:uid="{00000000-0005-0000-0000-000093000000}"/>
    <cellStyle name="Output 2" xfId="147" xr:uid="{00000000-0005-0000-0000-000094000000}"/>
    <cellStyle name="Output 3" xfId="148" xr:uid="{00000000-0005-0000-0000-000095000000}"/>
    <cellStyle name="Percent 2" xfId="149" xr:uid="{00000000-0005-0000-0000-000096000000}"/>
    <cellStyle name="Percent 2 2" xfId="150" xr:uid="{00000000-0005-0000-0000-000097000000}"/>
    <cellStyle name="Percent 3" xfId="151" xr:uid="{00000000-0005-0000-0000-000098000000}"/>
    <cellStyle name="Percent 4" xfId="152" xr:uid="{00000000-0005-0000-0000-000099000000}"/>
    <cellStyle name="Plain" xfId="153" xr:uid="{00000000-0005-0000-0000-00009A000000}"/>
    <cellStyle name="Salida" xfId="154" xr:uid="{00000000-0005-0000-0000-00009B000000}"/>
    <cellStyle name="Scientific" xfId="155" xr:uid="{00000000-0005-0000-0000-00009C000000}"/>
    <cellStyle name="Texto de advertencia" xfId="156" xr:uid="{00000000-0005-0000-0000-00009D000000}"/>
    <cellStyle name="Texto explicativo" xfId="157" xr:uid="{00000000-0005-0000-0000-00009E000000}"/>
    <cellStyle name="Title 2" xfId="158" xr:uid="{00000000-0005-0000-0000-00009F000000}"/>
    <cellStyle name="Title 3" xfId="159" xr:uid="{00000000-0005-0000-0000-0000A0000000}"/>
    <cellStyle name="Título" xfId="160" xr:uid="{00000000-0005-0000-0000-0000A1000000}"/>
    <cellStyle name="Título 1" xfId="161" xr:uid="{00000000-0005-0000-0000-0000A2000000}"/>
    <cellStyle name="Título 2" xfId="162" xr:uid="{00000000-0005-0000-0000-0000A3000000}"/>
    <cellStyle name="Título 3" xfId="163" xr:uid="{00000000-0005-0000-0000-0000A4000000}"/>
    <cellStyle name="Total 2" xfId="164" xr:uid="{00000000-0005-0000-0000-0000A5000000}"/>
    <cellStyle name="Total 3" xfId="165" xr:uid="{00000000-0005-0000-0000-0000A6000000}"/>
    <cellStyle name="Warning Text 2" xfId="166" xr:uid="{00000000-0005-0000-0000-0000A7000000}"/>
    <cellStyle name="Warning Text 3" xfId="167" xr:uid="{00000000-0005-0000-0000-0000A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D0"/>
      <rgbColor rgb="00808000"/>
      <rgbColor rgb="00800080"/>
      <rgbColor rgb="00008080"/>
      <rgbColor rgb="00C0C0C0"/>
      <rgbColor rgb="00EAEAEA"/>
      <rgbColor rgb="0038B61A"/>
      <rgbColor rgb="00F2E104"/>
      <rgbColor rgb="00FC0831"/>
      <rgbColor rgb="003A1EE2"/>
      <rgbColor rgb="00F0B114"/>
      <rgbColor rgb="00AB5E3F"/>
      <rgbColor rgb="000066CC"/>
      <rgbColor rgb="00CCCCFF"/>
      <rgbColor rgb="00000080"/>
      <rgbColor rgb="00FF00FF"/>
      <rgbColor rgb="00CBF0AA"/>
      <rgbColor rgb="0000FFFF"/>
      <rgbColor rgb="00800080"/>
      <rgbColor rgb="00800000"/>
      <rgbColor rgb="00008080"/>
      <rgbColor rgb="000000FF"/>
      <rgbColor rgb="0000CCFF"/>
      <rgbColor rgb="00CCFFFF"/>
      <rgbColor rgb="00C1F9B9"/>
      <rgbColor rgb="00FFFFB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5C00"/>
      <rgbColor rgb="00333300"/>
      <rgbColor rgb="00993300"/>
      <rgbColor rgb="00993366"/>
      <rgbColor rgb="00333399"/>
      <rgbColor rgb="00333333"/>
    </indexedColors>
    <mruColors>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129540</xdr:colOff>
      <xdr:row>0</xdr:row>
      <xdr:rowOff>198120</xdr:rowOff>
    </xdr:from>
    <xdr:to>
      <xdr:col>2</xdr:col>
      <xdr:colOff>335280</xdr:colOff>
      <xdr:row>3</xdr:row>
      <xdr:rowOff>99060</xdr:rowOff>
    </xdr:to>
    <xdr:grpSp>
      <xdr:nvGrpSpPr>
        <xdr:cNvPr id="16583" name="Group 2" title="logo">
          <a:extLst>
            <a:ext uri="{FF2B5EF4-FFF2-40B4-BE49-F238E27FC236}">
              <a16:creationId xmlns:a16="http://schemas.microsoft.com/office/drawing/2014/main" id="{10EC88CE-0482-4A8E-AB92-61EC40335878}"/>
            </a:ext>
          </a:extLst>
        </xdr:cNvPr>
        <xdr:cNvGrpSpPr>
          <a:grpSpLocks/>
        </xdr:cNvGrpSpPr>
      </xdr:nvGrpSpPr>
      <xdr:grpSpPr bwMode="auto">
        <a:xfrm>
          <a:off x="133350" y="196215"/>
          <a:ext cx="2718435" cy="699135"/>
          <a:chOff x="5568" y="10381"/>
          <a:chExt cx="4714" cy="1130"/>
        </a:xfrm>
      </xdr:grpSpPr>
      <xdr:sp macro="" textlink="">
        <xdr:nvSpPr>
          <xdr:cNvPr id="14339" name="Text Box 3">
            <a:extLst>
              <a:ext uri="{FF2B5EF4-FFF2-40B4-BE49-F238E27FC236}">
                <a16:creationId xmlns:a16="http://schemas.microsoft.com/office/drawing/2014/main" id="{716C9F47-B4A6-4B7E-ABCF-0A46B08502DC}"/>
              </a:ext>
            </a:extLst>
          </xdr:cNvPr>
          <xdr:cNvSpPr txBox="1">
            <a:spLocks noChangeArrowheads="1"/>
          </xdr:cNvSpPr>
        </xdr:nvSpPr>
        <xdr:spPr bwMode="auto">
          <a:xfrm>
            <a:off x="5568" y="10381"/>
            <a:ext cx="123" cy="703"/>
          </a:xfrm>
          <a:prstGeom prst="rect">
            <a:avLst/>
          </a:prstGeom>
          <a:solidFill>
            <a:srgbClr val="FFFFFF"/>
          </a:solidFill>
          <a:ln>
            <a:noFill/>
          </a:ln>
        </xdr:spPr>
        <xdr:txBody>
          <a:bodyPr wrap="none" lIns="91440" tIns="45720" rIns="91440" bIns="45720" anchor="t" upright="1">
            <a:spAutoFit/>
          </a:bodyPr>
          <a:lstStyle/>
          <a:p>
            <a:pPr algn="l" rtl="0">
              <a:lnSpc>
                <a:spcPts val="300"/>
              </a:lnSpc>
              <a:defRPr sz="1000"/>
            </a:pPr>
            <a:endParaRPr lang="fr-FR" sz="1200" b="0" i="0" u="none" strike="noStrike" baseline="0">
              <a:solidFill>
                <a:srgbClr val="000000"/>
              </a:solidFill>
              <a:latin typeface="Times New Roman"/>
              <a:cs typeface="Times New Roman"/>
            </a:endParaRPr>
          </a:p>
          <a:p>
            <a:pPr algn="l" rtl="0">
              <a:lnSpc>
                <a:spcPts val="400"/>
              </a:lnSpc>
              <a:defRPr sz="1000"/>
            </a:pPr>
            <a:endParaRPr lang="fr-FR" sz="1200" b="0" i="0" u="none" strike="noStrike" baseline="0">
              <a:solidFill>
                <a:srgbClr val="000000"/>
              </a:solidFill>
              <a:latin typeface="Times New Roman"/>
              <a:cs typeface="Times New Roman"/>
            </a:endParaRPr>
          </a:p>
        </xdr:txBody>
      </xdr:sp>
      <xdr:pic>
        <xdr:nvPicPr>
          <xdr:cNvPr id="16585" name="Picture 4" title="logo">
            <a:extLst>
              <a:ext uri="{FF2B5EF4-FFF2-40B4-BE49-F238E27FC236}">
                <a16:creationId xmlns:a16="http://schemas.microsoft.com/office/drawing/2014/main" id="{7E0A350C-4E5A-42F3-B26C-A12FD403D4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9432"/>
          <a:stretch>
            <a:fillRect/>
          </a:stretch>
        </xdr:blipFill>
        <xdr:spPr bwMode="auto">
          <a:xfrm>
            <a:off x="5777" y="10619"/>
            <a:ext cx="4505" cy="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Stefan\Dropbox\LCA%20LLC\Fulcrum\__Rex\_Sapphire%20Energy\Models\Cost%20Model\P&amp;L\200809xx%20Yield%20Assump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Jenny\Dropbox\Life%20Cycle\MICE\LCA_-_Sugar_Grass_MOUSE_v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LCA\Life%20Cycle%20Associate%20Dropbox\Love%20Goyal\WA%20Dept%20Ecology\CFS%202022\Gas%20and%20Diesel%20Blending\Cellulosic%20Ethanol%20Disaggregation_data%20repository_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lifecycle\Dropbox\.dropbox.cache\2013-10-31\Cellulosic%20Ethanol%20Disaggregation%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Susan\Dropbox\Life%20Cycle\GREET%202013\GREET1_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ae yield parameters"/>
      <sheetName val="Sheet1"/>
      <sheetName val="Sheet2"/>
      <sheetName val="Sheet3"/>
    </sheetNames>
    <sheetDataSet>
      <sheetData sheetId="0" refreshError="1">
        <row r="32">
          <cell r="V32">
            <v>500</v>
          </cell>
          <cell r="W32">
            <v>5000</v>
          </cell>
          <cell r="X32">
            <v>50000</v>
          </cell>
          <cell r="Y32">
            <v>500000</v>
          </cell>
          <cell r="Z32">
            <v>4995000</v>
          </cell>
        </row>
        <row r="43">
          <cell r="W43">
            <v>350</v>
          </cell>
          <cell r="X43">
            <v>3500</v>
          </cell>
          <cell r="Y43">
            <v>35400</v>
          </cell>
          <cell r="Z43">
            <v>353800</v>
          </cell>
        </row>
        <row r="44">
          <cell r="T44">
            <v>130</v>
          </cell>
          <cell r="U44">
            <v>1300</v>
          </cell>
          <cell r="V44">
            <v>12900</v>
          </cell>
          <cell r="W44">
            <v>127800</v>
          </cell>
          <cell r="X44">
            <v>1277500</v>
          </cell>
          <cell r="Y44">
            <v>12921000</v>
          </cell>
          <cell r="Z44">
            <v>129137000</v>
          </cell>
        </row>
        <row r="45">
          <cell r="V45">
            <v>500</v>
          </cell>
          <cell r="W45">
            <v>5000</v>
          </cell>
          <cell r="X45">
            <v>50000</v>
          </cell>
          <cell r="Y45">
            <v>500000</v>
          </cell>
          <cell r="Z45">
            <v>4995000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FAME Results"/>
      <sheetName val="FAEE Results"/>
      <sheetName val="IP Config"/>
      <sheetName val="LCA to Do List"/>
      <sheetName val="Vehicle Inputs"/>
      <sheetName val="HydroProcessing"/>
      <sheetName val="Biofuel_Inputs"/>
      <sheetName val="BioFuel MOUSE"/>
      <sheetName val="BioFuel Results"/>
      <sheetName val="Fuel_Specs"/>
      <sheetName val="GREET Data"/>
      <sheetName val="Transport"/>
      <sheetName val="Biodiesel"/>
      <sheetName val="LCI DB"/>
      <sheetName val="US"/>
      <sheetName val="Factors"/>
      <sheetName val="Direct_Impacts"/>
      <sheetName val="GREET_RD"/>
      <sheetName val="BD Inputs"/>
      <sheetName val="BD_MOUSE"/>
      <sheetName val="AO BD Results"/>
      <sheetName val="Transport_OLD"/>
      <sheetName val="Co-Prod LCI"/>
      <sheetName val="Dehydrator Input_Old"/>
      <sheetName val="GREET1_US"/>
      <sheetName val="CA_Average"/>
      <sheetName val="CA_Marginal"/>
      <sheetName val="CA_Petroleum"/>
      <sheetName val="Midwest"/>
      <sheetName val="Northeast"/>
      <sheetName val="SEA"/>
      <sheetName val="US_OLD"/>
      <sheetName val="Midwest_OLD"/>
      <sheetName val="Brazil_OLD"/>
      <sheetName val="CA_Average_OLD"/>
      <sheetName val="CA_Marginal_OLD"/>
      <sheetName val="EtOH"/>
      <sheetName val="Scenario Comparis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8">
          <cell r="D18">
            <v>40.078000000000003</v>
          </cell>
        </row>
        <row r="19">
          <cell r="D19">
            <v>35.453000000000003</v>
          </cell>
        </row>
        <row r="20">
          <cell r="D20">
            <v>22.98977</v>
          </cell>
        </row>
        <row r="21">
          <cell r="D21">
            <v>32.064999999999998</v>
          </cell>
        </row>
        <row r="22">
          <cell r="D22">
            <v>30.973762000000001</v>
          </cell>
        </row>
        <row r="23">
          <cell r="D23">
            <v>39.098300000000002</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heet1"/>
      <sheetName val="Biofuel_Inputs"/>
      <sheetName val="Resul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sheetData sheetId="5"/>
      <sheetData sheetId="6">
        <row r="35">
          <cell r="C35">
            <v>0.9071940488070398</v>
          </cell>
        </row>
      </sheetData>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Biofuel_Inpu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row r="31">
          <cell r="C31">
            <v>3412</v>
          </cell>
        </row>
      </sheetData>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
      <sheetName val="Fuel_Prod_TS"/>
      <sheetName val="EF_TS"/>
      <sheetName val="E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E-D Additives"/>
      <sheetName val="JetFuel_WTP"/>
      <sheetName val="JetFuel_PTWa"/>
      <sheetName val="JetFuel_WTWa"/>
      <sheetName val="MarineFuel_PTH"/>
      <sheetName val="MarineFuel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13">
          <cell r="E113">
            <v>453.59237000000002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oyal@lifecycleassociates,com" TargetMode="External"/><Relationship Id="rId1" Type="http://schemas.openxmlformats.org/officeDocument/2006/relationships/hyperlink" Target="mailto:Unnasch@lifecycleassociate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9"/>
  </sheetPr>
  <dimension ref="A1:Q38"/>
  <sheetViews>
    <sheetView workbookViewId="0">
      <selection activeCell="B9" sqref="B9"/>
    </sheetView>
  </sheetViews>
  <sheetFormatPr defaultColWidth="9.140625" defaultRowHeight="15" x14ac:dyDescent="0.25"/>
  <cols>
    <col min="1" max="1" width="5" style="1" customWidth="1"/>
    <col min="2" max="2" width="32.7109375" style="1" customWidth="1"/>
    <col min="3" max="3" width="10.7109375" style="1" customWidth="1"/>
    <col min="4" max="5" width="9.140625" style="1"/>
    <col min="6" max="6" width="51" style="1" customWidth="1"/>
    <col min="7" max="7" width="17.85546875" style="1" customWidth="1"/>
    <col min="8" max="10" width="9.140625" style="1"/>
    <col min="11" max="11" width="17.42578125" style="1" customWidth="1"/>
    <col min="12" max="12" width="7.85546875" style="1" customWidth="1"/>
    <col min="13" max="13" width="18.85546875" style="1" customWidth="1"/>
    <col min="14" max="16384" width="9.140625" style="1"/>
  </cols>
  <sheetData>
    <row r="1" spans="1:17" ht="32.25" customHeight="1" x14ac:dyDescent="0.35">
      <c r="A1" s="11"/>
      <c r="B1" s="12" t="s">
        <v>5</v>
      </c>
      <c r="H1" s="13"/>
      <c r="I1" s="13">
        <v>6015</v>
      </c>
      <c r="J1" s="13" t="s">
        <v>6</v>
      </c>
      <c r="K1" s="13"/>
    </row>
    <row r="2" spans="1:17" ht="15" customHeight="1" x14ac:dyDescent="0.35">
      <c r="A2" s="14"/>
    </row>
    <row r="3" spans="1:17" ht="15" customHeight="1" x14ac:dyDescent="0.35">
      <c r="A3" s="14"/>
    </row>
    <row r="4" spans="1:17" ht="18" customHeight="1" x14ac:dyDescent="0.35">
      <c r="A4" s="14"/>
      <c r="B4" s="15" t="s">
        <v>153</v>
      </c>
      <c r="C4" s="16"/>
      <c r="D4" s="16"/>
      <c r="E4" s="16"/>
      <c r="F4" s="16"/>
      <c r="G4" s="16"/>
      <c r="H4" s="16"/>
      <c r="I4" s="16"/>
      <c r="J4" s="16"/>
      <c r="L4" s="16"/>
    </row>
    <row r="5" spans="1:17" ht="18" customHeight="1" x14ac:dyDescent="0.35">
      <c r="A5" s="14"/>
      <c r="B5" s="15"/>
      <c r="C5" s="16"/>
      <c r="D5" s="16"/>
      <c r="E5" s="16"/>
      <c r="F5" s="16"/>
      <c r="G5" s="16"/>
      <c r="H5" s="16"/>
      <c r="I5" s="16"/>
      <c r="J5" s="16"/>
      <c r="L5" s="16"/>
    </row>
    <row r="6" spans="1:17" ht="15" customHeight="1" x14ac:dyDescent="0.35">
      <c r="A6" s="14"/>
      <c r="B6" s="178" t="s">
        <v>155</v>
      </c>
      <c r="C6" s="179">
        <v>44893</v>
      </c>
      <c r="D6" s="16"/>
      <c r="E6" s="16"/>
      <c r="F6" s="16"/>
      <c r="G6" s="16"/>
      <c r="H6" s="16"/>
      <c r="I6" s="16"/>
      <c r="J6" s="16"/>
      <c r="L6" s="16"/>
    </row>
    <row r="7" spans="1:17" ht="15" customHeight="1" x14ac:dyDescent="0.35">
      <c r="A7" s="14"/>
      <c r="B7" s="16"/>
      <c r="C7" s="16"/>
      <c r="D7" s="16"/>
      <c r="E7" s="16"/>
      <c r="F7" s="16"/>
      <c r="G7" s="17" t="s">
        <v>7</v>
      </c>
      <c r="H7" s="16"/>
      <c r="I7" s="16"/>
      <c r="J7" s="16"/>
      <c r="L7" s="16"/>
    </row>
    <row r="8" spans="1:17" ht="15" customHeight="1" x14ac:dyDescent="0.35">
      <c r="A8" s="14"/>
      <c r="B8" s="18" t="s">
        <v>8</v>
      </c>
      <c r="C8" s="16"/>
      <c r="D8" s="16"/>
      <c r="E8" s="16"/>
      <c r="F8" s="16"/>
      <c r="G8" s="166" t="s">
        <v>9</v>
      </c>
      <c r="H8" s="16"/>
      <c r="I8" s="16"/>
      <c r="J8" s="16"/>
      <c r="L8" s="16"/>
    </row>
    <row r="9" spans="1:17" ht="15" customHeight="1" x14ac:dyDescent="0.35">
      <c r="A9" s="14"/>
      <c r="B9" s="16" t="s">
        <v>10</v>
      </c>
      <c r="C9" s="19" t="s">
        <v>11</v>
      </c>
      <c r="D9" s="16"/>
      <c r="E9" s="16"/>
      <c r="F9" s="20"/>
      <c r="G9" s="21" t="s">
        <v>12</v>
      </c>
      <c r="H9" s="16"/>
      <c r="I9" s="16"/>
      <c r="J9" s="16"/>
      <c r="L9" s="16"/>
    </row>
    <row r="10" spans="1:17" ht="15" customHeight="1" x14ac:dyDescent="0.35">
      <c r="A10" s="14"/>
      <c r="B10" s="16" t="s">
        <v>143</v>
      </c>
      <c r="C10" s="19" t="s">
        <v>144</v>
      </c>
      <c r="D10" s="16"/>
      <c r="E10" s="16"/>
      <c r="F10" s="20"/>
      <c r="G10" s="22" t="s">
        <v>13</v>
      </c>
      <c r="H10" s="16"/>
      <c r="I10" s="16"/>
      <c r="J10" s="16"/>
      <c r="L10" s="16"/>
    </row>
    <row r="11" spans="1:17" ht="15" customHeight="1" x14ac:dyDescent="0.35">
      <c r="A11" s="14"/>
      <c r="B11" s="16"/>
      <c r="C11" s="19"/>
      <c r="D11" s="16"/>
      <c r="E11" s="16"/>
      <c r="F11" s="20"/>
      <c r="G11" s="24" t="s">
        <v>15</v>
      </c>
      <c r="H11" s="16"/>
      <c r="I11" s="16"/>
      <c r="J11" s="16"/>
      <c r="L11" s="16"/>
    </row>
    <row r="12" spans="1:17" ht="15" customHeight="1" x14ac:dyDescent="0.35">
      <c r="A12" s="14"/>
      <c r="B12" s="23" t="s">
        <v>14</v>
      </c>
      <c r="C12" s="19"/>
      <c r="D12" s="16"/>
      <c r="E12" s="16"/>
      <c r="F12" s="20"/>
      <c r="H12" s="16"/>
      <c r="I12" s="16"/>
      <c r="J12" s="16"/>
      <c r="K12" s="16"/>
      <c r="L12" s="16"/>
    </row>
    <row r="13" spans="1:17" ht="15" customHeight="1" x14ac:dyDescent="0.35">
      <c r="A13" s="14"/>
      <c r="B13" s="16" t="s">
        <v>145</v>
      </c>
      <c r="C13" s="19"/>
      <c r="D13" s="16"/>
      <c r="E13" s="16"/>
      <c r="F13" s="20"/>
      <c r="G13" s="16"/>
      <c r="H13" s="16"/>
      <c r="I13" s="16"/>
      <c r="J13" s="16"/>
      <c r="K13" s="16"/>
      <c r="L13" s="16"/>
    </row>
    <row r="14" spans="1:17" ht="15" customHeight="1" x14ac:dyDescent="0.35">
      <c r="A14" s="14"/>
      <c r="B14" s="25"/>
      <c r="C14" s="26"/>
      <c r="D14" s="26"/>
      <c r="E14" s="26"/>
      <c r="F14" s="26"/>
      <c r="G14" s="26"/>
      <c r="H14" s="26"/>
      <c r="I14" s="26"/>
      <c r="J14" s="26"/>
      <c r="K14" s="26"/>
      <c r="L14" s="16"/>
    </row>
    <row r="15" spans="1:17" ht="15" customHeight="1" x14ac:dyDescent="0.35">
      <c r="A15" s="14"/>
      <c r="B15" s="25"/>
      <c r="C15" s="26"/>
      <c r="D15" s="26"/>
      <c r="E15" s="26"/>
      <c r="F15" s="26"/>
      <c r="G15" s="26"/>
      <c r="H15" s="26"/>
      <c r="I15" s="26"/>
      <c r="J15" s="26"/>
      <c r="K15" s="26"/>
      <c r="L15" s="16"/>
    </row>
    <row r="16" spans="1:17" ht="15.75" customHeight="1" x14ac:dyDescent="0.35">
      <c r="A16" s="14"/>
      <c r="B16" s="23" t="s">
        <v>16</v>
      </c>
      <c r="C16" s="26"/>
      <c r="D16" s="26"/>
      <c r="E16" s="26"/>
      <c r="F16" s="26"/>
      <c r="G16" s="26"/>
      <c r="H16" s="26"/>
      <c r="I16" s="26"/>
      <c r="J16" s="26"/>
      <c r="K16" s="26"/>
      <c r="L16" s="26"/>
      <c r="M16" s="26"/>
      <c r="N16" s="26"/>
      <c r="O16" s="26"/>
      <c r="P16" s="26"/>
      <c r="Q16" s="26"/>
    </row>
    <row r="17" spans="1:12" ht="15" customHeight="1" x14ac:dyDescent="0.35">
      <c r="A17" s="14"/>
      <c r="B17" s="194" t="s">
        <v>17</v>
      </c>
      <c r="C17" s="194"/>
      <c r="D17" s="194"/>
      <c r="E17" s="194"/>
      <c r="F17" s="194"/>
      <c r="G17" s="194"/>
      <c r="H17" s="194"/>
      <c r="I17" s="194"/>
      <c r="J17" s="194"/>
      <c r="K17" s="194"/>
      <c r="L17" s="194"/>
    </row>
    <row r="18" spans="1:12" ht="15" customHeight="1" x14ac:dyDescent="0.35">
      <c r="A18" s="14"/>
      <c r="B18" s="28" t="s">
        <v>18</v>
      </c>
      <c r="C18" s="27"/>
      <c r="D18" s="27"/>
      <c r="E18" s="27"/>
      <c r="F18" s="27"/>
      <c r="G18" s="27"/>
      <c r="H18" s="27"/>
      <c r="I18" s="27"/>
      <c r="J18" s="27"/>
      <c r="K18" s="27"/>
      <c r="L18" s="27"/>
    </row>
    <row r="19" spans="1:12" ht="15" customHeight="1" x14ac:dyDescent="0.35">
      <c r="A19" s="14"/>
      <c r="B19" s="192" t="s">
        <v>19</v>
      </c>
      <c r="C19" s="192"/>
      <c r="D19" s="192"/>
      <c r="E19" s="192"/>
      <c r="F19" s="192"/>
      <c r="G19" s="192"/>
      <c r="H19" s="192"/>
      <c r="I19" s="192"/>
      <c r="J19" s="192"/>
      <c r="K19" s="192"/>
      <c r="L19" s="192"/>
    </row>
    <row r="20" spans="1:12" ht="15" customHeight="1" x14ac:dyDescent="0.35">
      <c r="A20" s="14"/>
      <c r="B20" s="25"/>
      <c r="C20" s="26"/>
      <c r="D20" s="26"/>
      <c r="E20" s="26"/>
      <c r="F20" s="26"/>
      <c r="G20" s="26"/>
      <c r="H20" s="26"/>
      <c r="I20" s="26"/>
      <c r="J20" s="26"/>
      <c r="K20" s="26"/>
      <c r="L20" s="16"/>
    </row>
    <row r="21" spans="1:12" ht="15" customHeight="1" x14ac:dyDescent="0.25">
      <c r="A21" s="70"/>
      <c r="B21" s="71" t="s">
        <v>20</v>
      </c>
      <c r="C21" s="72"/>
      <c r="D21" s="72"/>
      <c r="E21" s="72"/>
      <c r="F21" s="72"/>
      <c r="G21" s="72"/>
      <c r="H21" s="72"/>
      <c r="I21" s="72"/>
      <c r="J21" s="72"/>
      <c r="K21" s="2"/>
      <c r="L21" s="2"/>
    </row>
    <row r="22" spans="1:12" ht="15" customHeight="1" x14ac:dyDescent="0.25">
      <c r="A22" s="70"/>
      <c r="B22" s="73" t="s">
        <v>21</v>
      </c>
      <c r="C22" s="72"/>
      <c r="D22" s="72"/>
      <c r="E22" s="72"/>
      <c r="F22" s="72"/>
      <c r="G22" s="72"/>
      <c r="H22" s="72"/>
      <c r="I22" s="72"/>
      <c r="J22" s="72"/>
      <c r="K22" s="2"/>
      <c r="L22" s="2"/>
    </row>
    <row r="23" spans="1:12" ht="15" customHeight="1" x14ac:dyDescent="0.25">
      <c r="A23" s="70"/>
      <c r="B23" s="71" t="s">
        <v>20</v>
      </c>
      <c r="C23" s="72"/>
      <c r="D23" s="72"/>
      <c r="E23" s="72"/>
      <c r="F23" s="72"/>
      <c r="G23" s="72"/>
      <c r="H23" s="72"/>
      <c r="I23" s="72"/>
      <c r="J23" s="72"/>
      <c r="K23" s="2"/>
      <c r="L23" s="2"/>
    </row>
    <row r="24" spans="1:12" ht="15" customHeight="1" x14ac:dyDescent="0.25">
      <c r="A24" s="70"/>
      <c r="B24" s="193" t="s">
        <v>47</v>
      </c>
      <c r="C24" s="191"/>
      <c r="D24" s="191"/>
      <c r="E24" s="191"/>
      <c r="F24" s="191"/>
      <c r="G24" s="191"/>
      <c r="H24" s="191"/>
      <c r="I24" s="191"/>
      <c r="J24" s="191"/>
      <c r="K24" s="2"/>
      <c r="L24" s="2"/>
    </row>
    <row r="25" spans="1:12" ht="15" customHeight="1" x14ac:dyDescent="0.25">
      <c r="A25" s="70"/>
      <c r="B25" s="74"/>
      <c r="C25" s="74"/>
      <c r="D25" s="76"/>
      <c r="E25" s="76"/>
      <c r="F25" s="76"/>
      <c r="G25" s="76"/>
      <c r="H25" s="76"/>
      <c r="I25" s="76"/>
      <c r="J25" s="76"/>
      <c r="K25" s="2"/>
      <c r="L25" s="2"/>
    </row>
    <row r="26" spans="1:12" ht="30.75" customHeight="1" x14ac:dyDescent="0.25">
      <c r="A26" s="70"/>
      <c r="B26" s="193" t="s">
        <v>44</v>
      </c>
      <c r="C26" s="191"/>
      <c r="D26" s="191"/>
      <c r="E26" s="191"/>
      <c r="F26" s="191"/>
      <c r="G26" s="191"/>
      <c r="H26" s="191"/>
      <c r="I26" s="191"/>
      <c r="J26" s="191"/>
      <c r="K26" s="2"/>
      <c r="L26" s="2"/>
    </row>
    <row r="27" spans="1:12" ht="15" customHeight="1" x14ac:dyDescent="0.25">
      <c r="A27" s="70"/>
      <c r="B27" s="74"/>
      <c r="C27" s="75"/>
      <c r="D27" s="75"/>
      <c r="E27" s="75"/>
      <c r="F27" s="75"/>
      <c r="G27" s="75"/>
      <c r="H27" s="75"/>
      <c r="I27" s="75"/>
      <c r="J27" s="75"/>
      <c r="K27" s="2"/>
      <c r="L27" s="2"/>
    </row>
    <row r="28" spans="1:12" ht="24" customHeight="1" x14ac:dyDescent="0.25">
      <c r="A28" s="70"/>
      <c r="B28" s="190" t="s">
        <v>45</v>
      </c>
      <c r="C28" s="191"/>
      <c r="D28" s="191"/>
      <c r="E28" s="191"/>
      <c r="F28" s="191"/>
      <c r="G28" s="191"/>
      <c r="H28" s="191"/>
      <c r="I28" s="191"/>
      <c r="J28" s="191"/>
      <c r="K28" s="2"/>
      <c r="L28" s="2"/>
    </row>
    <row r="29" spans="1:12" ht="15" customHeight="1" x14ac:dyDescent="0.25">
      <c r="A29" s="70"/>
      <c r="B29" s="77"/>
      <c r="C29" s="77"/>
      <c r="D29" s="77"/>
      <c r="E29" s="77"/>
      <c r="F29" s="77"/>
      <c r="G29" s="77"/>
      <c r="H29" s="77"/>
      <c r="I29" s="77"/>
      <c r="J29" s="77"/>
    </row>
    <row r="30" spans="1:12" x14ac:dyDescent="0.25">
      <c r="A30" s="77"/>
      <c r="B30" s="77"/>
      <c r="C30" s="77"/>
      <c r="D30" s="77"/>
      <c r="E30" s="77"/>
      <c r="F30" s="77"/>
      <c r="G30" s="77"/>
      <c r="H30" s="77"/>
      <c r="I30" s="77"/>
      <c r="J30" s="77"/>
    </row>
    <row r="31" spans="1:12" x14ac:dyDescent="0.25">
      <c r="A31" s="77"/>
      <c r="B31" s="77" t="s">
        <v>22</v>
      </c>
      <c r="C31" s="77"/>
      <c r="D31" s="77"/>
      <c r="E31" s="77"/>
      <c r="F31" s="77"/>
      <c r="G31" s="77"/>
      <c r="H31" s="77"/>
      <c r="I31" s="77"/>
      <c r="J31" s="77"/>
    </row>
    <row r="32" spans="1:12" x14ac:dyDescent="0.25">
      <c r="B32" s="1" t="s">
        <v>10</v>
      </c>
    </row>
    <row r="33" spans="2:2" x14ac:dyDescent="0.25">
      <c r="B33" s="1" t="s">
        <v>5</v>
      </c>
    </row>
    <row r="34" spans="2:2" x14ac:dyDescent="0.25">
      <c r="B34" s="1" t="s">
        <v>23</v>
      </c>
    </row>
    <row r="35" spans="2:2" x14ac:dyDescent="0.25">
      <c r="B35" s="1" t="s">
        <v>24</v>
      </c>
    </row>
    <row r="36" spans="2:2" x14ac:dyDescent="0.25">
      <c r="B36" s="1" t="s">
        <v>25</v>
      </c>
    </row>
    <row r="37" spans="2:2" x14ac:dyDescent="0.25">
      <c r="B37" s="1" t="s">
        <v>26</v>
      </c>
    </row>
    <row r="38" spans="2:2" x14ac:dyDescent="0.25">
      <c r="B38" s="29" t="s">
        <v>27</v>
      </c>
    </row>
  </sheetData>
  <mergeCells count="5">
    <mergeCell ref="B28:J28"/>
    <mergeCell ref="B19:L19"/>
    <mergeCell ref="B26:J26"/>
    <mergeCell ref="B17:L17"/>
    <mergeCell ref="B24:J24"/>
  </mergeCells>
  <phoneticPr fontId="7" type="noConversion"/>
  <hyperlinks>
    <hyperlink ref="C9" r:id="rId1" xr:uid="{00000000-0004-0000-0000-000000000000}"/>
    <hyperlink ref="C10" r:id="rId2" xr:uid="{00000000-0004-0000-0000-000001000000}"/>
  </hyperlinks>
  <pageMargins left="0.78740157499999996" right="0.78740157499999996" top="0.984251969" bottom="0.984251969"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52"/>
  </sheetPr>
  <dimension ref="A1:S55"/>
  <sheetViews>
    <sheetView showGridLines="0" tabSelected="1" zoomScaleNormal="100" workbookViewId="0">
      <selection activeCell="AA13" sqref="AA13"/>
    </sheetView>
  </sheetViews>
  <sheetFormatPr defaultColWidth="9.140625" defaultRowHeight="14.25" x14ac:dyDescent="0.2"/>
  <cols>
    <col min="1" max="1" width="9.140625" style="3"/>
    <col min="2" max="2" width="22.28515625" style="3" customWidth="1"/>
    <col min="3" max="3" width="13.42578125" style="3" customWidth="1"/>
    <col min="4" max="4" width="11.140625" style="3" customWidth="1"/>
    <col min="5" max="5" width="12" style="3" customWidth="1"/>
    <col min="6" max="6" width="10.85546875" style="3" customWidth="1"/>
    <col min="7" max="7" width="17.28515625" style="3" bestFit="1" customWidth="1"/>
    <col min="8" max="8" width="11.42578125" style="3" customWidth="1"/>
    <col min="9" max="9" width="10.28515625" style="3" customWidth="1"/>
    <col min="10" max="10" width="11" style="3" customWidth="1"/>
    <col min="11" max="11" width="10.5703125" style="3" customWidth="1"/>
    <col min="12" max="12" width="9.140625" style="3"/>
    <col min="13" max="13" width="9.85546875" style="3" bestFit="1" customWidth="1"/>
    <col min="14" max="16384" width="9.140625" style="3"/>
  </cols>
  <sheetData>
    <row r="1" spans="1:19" ht="19.5" x14ac:dyDescent="0.4">
      <c r="A1" s="195" t="s">
        <v>154</v>
      </c>
      <c r="B1" s="195"/>
      <c r="C1" s="195"/>
      <c r="D1" s="195"/>
      <c r="E1" s="195"/>
      <c r="F1" s="195"/>
      <c r="G1" s="195"/>
      <c r="H1" s="195"/>
      <c r="I1" s="195"/>
      <c r="J1" s="195"/>
      <c r="K1" s="51"/>
    </row>
    <row r="2" spans="1:19" x14ac:dyDescent="0.2">
      <c r="A2" s="5"/>
      <c r="B2" s="78" t="s">
        <v>48</v>
      </c>
      <c r="C2" s="36"/>
      <c r="D2" s="36" t="s">
        <v>29</v>
      </c>
      <c r="E2" s="36"/>
      <c r="F2" s="35"/>
      <c r="G2" s="35" t="s">
        <v>30</v>
      </c>
      <c r="H2" s="35"/>
      <c r="K2" s="51"/>
    </row>
    <row r="3" spans="1:19" ht="38.25" x14ac:dyDescent="0.2">
      <c r="A3" s="5"/>
      <c r="B3" s="39" t="s">
        <v>0</v>
      </c>
      <c r="C3" s="6" t="s">
        <v>1</v>
      </c>
      <c r="D3" s="6" t="s">
        <v>141</v>
      </c>
      <c r="E3" s="63" t="s">
        <v>3</v>
      </c>
      <c r="F3" s="8" t="s">
        <v>3</v>
      </c>
      <c r="G3" s="87" t="s">
        <v>142</v>
      </c>
      <c r="H3" s="8" t="s">
        <v>30</v>
      </c>
      <c r="J3" s="150" t="s">
        <v>137</v>
      </c>
      <c r="K3" s="30" t="s">
        <v>4</v>
      </c>
      <c r="L3" s="8" t="s">
        <v>35</v>
      </c>
      <c r="M3" s="8" t="s">
        <v>149</v>
      </c>
    </row>
    <row r="4" spans="1:19" x14ac:dyDescent="0.2">
      <c r="A4" s="7"/>
      <c r="B4" s="10" t="s">
        <v>28</v>
      </c>
      <c r="C4" s="104">
        <f>1-D4</f>
        <v>0.97499999999999998</v>
      </c>
      <c r="D4" s="69">
        <v>2.5000000000000001E-2</v>
      </c>
      <c r="E4" s="64"/>
      <c r="F4" s="69">
        <v>0.1</v>
      </c>
      <c r="G4" s="104">
        <f>1-F4</f>
        <v>0.9</v>
      </c>
      <c r="H4" s="41"/>
      <c r="J4" s="31" t="s">
        <v>31</v>
      </c>
      <c r="K4" s="48">
        <v>0</v>
      </c>
      <c r="L4" s="37"/>
      <c r="M4" s="168">
        <v>100.447364845951</v>
      </c>
      <c r="N4" s="3" t="s">
        <v>140</v>
      </c>
    </row>
    <row r="5" spans="1:19" x14ac:dyDescent="0.2">
      <c r="A5" s="7"/>
      <c r="B5" s="40" t="s">
        <v>2</v>
      </c>
      <c r="C5" s="4">
        <v>76330</v>
      </c>
      <c r="D5" s="4">
        <v>113300</v>
      </c>
      <c r="E5" s="154">
        <f>SUM(C6:D6)</f>
        <v>77254.25</v>
      </c>
      <c r="F5" s="42">
        <f>E5</f>
        <v>77254.25</v>
      </c>
      <c r="G5" s="134">
        <v>116090</v>
      </c>
      <c r="H5" s="42">
        <f>G6+F6</f>
        <v>112206.425</v>
      </c>
      <c r="J5" s="32" t="s">
        <v>32</v>
      </c>
      <c r="K5" s="49">
        <v>3.8669424100629096E-2</v>
      </c>
      <c r="L5" s="9">
        <v>113876.405</v>
      </c>
      <c r="M5" s="161">
        <v>99.627334412618879</v>
      </c>
      <c r="N5" s="3" t="s">
        <v>139</v>
      </c>
    </row>
    <row r="6" spans="1:19" x14ac:dyDescent="0.2">
      <c r="A6" s="7"/>
      <c r="B6" s="40" t="s">
        <v>41</v>
      </c>
      <c r="C6" s="42">
        <f>C5*C4</f>
        <v>74421.75</v>
      </c>
      <c r="D6" s="42">
        <f>D5*D4</f>
        <v>2832.5</v>
      </c>
      <c r="E6" s="155">
        <f>E5*$H$50</f>
        <v>81.507548399862486</v>
      </c>
      <c r="F6" s="42">
        <f>F5*F4</f>
        <v>7725.4250000000002</v>
      </c>
      <c r="G6" s="42">
        <f>G5*G4</f>
        <v>104481</v>
      </c>
      <c r="H6" s="161">
        <f>H5*$H$50</f>
        <v>118.38404510383624</v>
      </c>
      <c r="J6" s="32" t="s">
        <v>33</v>
      </c>
      <c r="K6" s="49">
        <v>6.8850735028719398E-2</v>
      </c>
      <c r="L6" s="9">
        <v>112206.5</v>
      </c>
      <c r="M6" s="161">
        <v>98.929402726894224</v>
      </c>
    </row>
    <row r="7" spans="1:19" x14ac:dyDescent="0.2">
      <c r="A7" s="7"/>
      <c r="B7" s="43" t="s">
        <v>4</v>
      </c>
      <c r="C7" s="152">
        <f>C6/$E$5</f>
        <v>0.96333535048233587</v>
      </c>
      <c r="D7" s="152">
        <f>D6/$E$5</f>
        <v>3.6664649517664079E-2</v>
      </c>
      <c r="E7" s="151"/>
      <c r="F7" s="152">
        <f>F6/$H$5</f>
        <v>6.8850112638380562E-2</v>
      </c>
      <c r="G7" s="152">
        <f>G6/$H$5</f>
        <v>0.93114988736161941</v>
      </c>
      <c r="H7" s="44"/>
      <c r="I7" s="156"/>
      <c r="J7" s="33" t="s">
        <v>34</v>
      </c>
      <c r="K7" s="50">
        <v>0.10509387019025024</v>
      </c>
      <c r="L7" s="38">
        <v>110264.6375</v>
      </c>
      <c r="M7" s="169">
        <v>98.091271936730095</v>
      </c>
    </row>
    <row r="8" spans="1:19" x14ac:dyDescent="0.2">
      <c r="A8" s="7"/>
      <c r="B8" s="34" t="s">
        <v>36</v>
      </c>
      <c r="C8" s="136">
        <f>C9*C7</f>
        <v>53.555613289114</v>
      </c>
      <c r="D8" s="136">
        <f>D9*D7</f>
        <v>3.6444262368843416</v>
      </c>
      <c r="E8" s="137">
        <f>C8+D8</f>
        <v>57.200039525998342</v>
      </c>
      <c r="F8" s="138">
        <f>E8*F7</f>
        <v>3.938229164284806</v>
      </c>
      <c r="G8" s="136">
        <f>G9*G7</f>
        <v>92.555284848357317</v>
      </c>
      <c r="H8" s="138">
        <f>G8+F8</f>
        <v>96.493514012642123</v>
      </c>
      <c r="J8" s="33" t="s">
        <v>37</v>
      </c>
      <c r="K8" s="50">
        <v>0.79040144920122413</v>
      </c>
      <c r="L8" s="38">
        <v>83079.612500000003</v>
      </c>
      <c r="M8" s="169">
        <v>82.243686765886949</v>
      </c>
    </row>
    <row r="9" spans="1:19" x14ac:dyDescent="0.2">
      <c r="A9" s="7"/>
      <c r="B9" s="52" t="s">
        <v>40</v>
      </c>
      <c r="C9" s="168">
        <f>C12-C10</f>
        <v>55.5939458282093</v>
      </c>
      <c r="D9" s="106">
        <f>100.447364845951-G11</f>
        <v>99.398911071781868</v>
      </c>
      <c r="E9" s="65"/>
      <c r="F9" s="67"/>
      <c r="G9" s="164">
        <f>100.447364845951-G11</f>
        <v>99.398911071781868</v>
      </c>
      <c r="H9" s="53"/>
      <c r="J9" s="33" t="s">
        <v>46</v>
      </c>
      <c r="K9" s="50">
        <f>F7</f>
        <v>6.8850112638380562E-2</v>
      </c>
      <c r="L9" s="38">
        <f>H5</f>
        <v>112206.425</v>
      </c>
      <c r="M9" s="169">
        <f>H12</f>
        <v>98.929402726894224</v>
      </c>
    </row>
    <row r="10" spans="1:19" x14ac:dyDescent="0.2">
      <c r="B10" s="40" t="s">
        <v>39</v>
      </c>
      <c r="C10" s="153">
        <v>19.8</v>
      </c>
      <c r="D10" s="47"/>
      <c r="E10" s="141">
        <f>C10*C7</f>
        <v>19.07403993955025</v>
      </c>
      <c r="F10" s="141">
        <f>F7*E10</f>
        <v>1.3132497983070042</v>
      </c>
      <c r="G10" s="62"/>
      <c r="H10" s="139">
        <f>F10</f>
        <v>1.3132497983070042</v>
      </c>
      <c r="J10" s="5"/>
    </row>
    <row r="11" spans="1:19" x14ac:dyDescent="0.2">
      <c r="B11" s="55" t="s">
        <v>38</v>
      </c>
      <c r="C11" s="61" t="s">
        <v>43</v>
      </c>
      <c r="D11" s="56"/>
      <c r="E11" s="135"/>
      <c r="F11" s="175">
        <v>7.4185141775980665E-2</v>
      </c>
      <c r="G11" s="176">
        <v>1.048453774169126</v>
      </c>
      <c r="H11" s="177">
        <f>SUM(F11:G11)</f>
        <v>1.1226389159451067</v>
      </c>
      <c r="J11" s="5"/>
    </row>
    <row r="12" spans="1:19" ht="15" x14ac:dyDescent="0.25">
      <c r="B12" s="79" t="s">
        <v>156</v>
      </c>
      <c r="C12" s="173">
        <f>76.2745849484654-C14</f>
        <v>75.393945828209297</v>
      </c>
      <c r="D12" s="58"/>
      <c r="E12" s="59">
        <f>SUM(E8:E11)</f>
        <v>76.274079465548596</v>
      </c>
      <c r="F12" s="142">
        <f>SUM(F8:F11)</f>
        <v>5.3256641043677906</v>
      </c>
      <c r="G12" s="163">
        <f>G9+G11</f>
        <v>100.447364845951</v>
      </c>
      <c r="H12" s="181">
        <f>SUM(H8:H11)</f>
        <v>98.929402726894224</v>
      </c>
      <c r="J12" s="5"/>
      <c r="N12" s="183"/>
      <c r="O12" s="183"/>
      <c r="P12" s="183"/>
      <c r="Q12" s="183"/>
      <c r="R12" s="183"/>
      <c r="S12" s="183"/>
    </row>
    <row r="13" spans="1:19" x14ac:dyDescent="0.2">
      <c r="C13" s="171"/>
      <c r="E13" s="158"/>
      <c r="G13" s="180"/>
      <c r="H13" s="157"/>
      <c r="J13" s="160"/>
      <c r="N13" s="183"/>
      <c r="O13" s="184"/>
      <c r="P13" s="185"/>
      <c r="Q13" s="185"/>
      <c r="R13" s="185"/>
      <c r="S13" s="183"/>
    </row>
    <row r="14" spans="1:19" x14ac:dyDescent="0.2">
      <c r="B14" s="5" t="s">
        <v>152</v>
      </c>
      <c r="C14" s="153">
        <v>0.88063912025610591</v>
      </c>
      <c r="D14" s="172"/>
      <c r="E14" s="172"/>
      <c r="F14" s="157"/>
      <c r="H14" s="157"/>
      <c r="J14" s="157"/>
      <c r="N14" s="183"/>
      <c r="O14" s="186"/>
      <c r="P14" s="49"/>
      <c r="Q14" s="187"/>
      <c r="R14" s="188"/>
      <c r="S14" s="183"/>
    </row>
    <row r="15" spans="1:19" x14ac:dyDescent="0.2">
      <c r="C15" s="174"/>
      <c r="D15" s="170"/>
      <c r="E15" s="158"/>
      <c r="G15" s="157"/>
      <c r="H15" s="159"/>
      <c r="J15" s="5"/>
      <c r="L15" s="159"/>
      <c r="N15" s="183"/>
      <c r="O15" s="186"/>
      <c r="P15" s="49"/>
      <c r="Q15" s="187"/>
      <c r="R15" s="188"/>
      <c r="S15" s="183"/>
    </row>
    <row r="16" spans="1:19" x14ac:dyDescent="0.2">
      <c r="J16" s="158"/>
      <c r="N16" s="183"/>
      <c r="O16" s="186"/>
      <c r="P16" s="49"/>
      <c r="Q16" s="189"/>
      <c r="R16" s="188"/>
      <c r="S16" s="183"/>
    </row>
    <row r="17" spans="2:19" x14ac:dyDescent="0.2">
      <c r="B17" s="78" t="s">
        <v>49</v>
      </c>
      <c r="C17" s="149" t="s">
        <v>136</v>
      </c>
      <c r="D17" s="35"/>
      <c r="E17" s="35" t="s">
        <v>30</v>
      </c>
      <c r="F17" s="35"/>
      <c r="J17" s="160"/>
      <c r="K17" s="167"/>
      <c r="L17" s="156"/>
      <c r="N17" s="183"/>
      <c r="O17" s="186"/>
      <c r="P17" s="49"/>
      <c r="Q17" s="187"/>
      <c r="R17" s="188"/>
      <c r="S17" s="183"/>
    </row>
    <row r="18" spans="2:19" ht="38.25" x14ac:dyDescent="0.2">
      <c r="B18" s="39" t="s">
        <v>0</v>
      </c>
      <c r="C18" s="63" t="s">
        <v>50</v>
      </c>
      <c r="D18" s="8" t="s">
        <v>50</v>
      </c>
      <c r="E18" s="8" t="s">
        <v>151</v>
      </c>
      <c r="F18" s="8" t="s">
        <v>30</v>
      </c>
      <c r="J18" s="150" t="s">
        <v>146</v>
      </c>
      <c r="K18" s="30" t="s">
        <v>148</v>
      </c>
      <c r="L18" s="8" t="s">
        <v>149</v>
      </c>
      <c r="N18" s="183"/>
      <c r="O18" s="186"/>
      <c r="P18" s="49"/>
      <c r="Q18" s="189"/>
      <c r="R18" s="188"/>
      <c r="S18" s="183"/>
    </row>
    <row r="19" spans="2:19" x14ac:dyDescent="0.2">
      <c r="B19" s="10" t="s">
        <v>28</v>
      </c>
      <c r="C19" s="80"/>
      <c r="D19" s="69">
        <v>2.5000000000000001E-2</v>
      </c>
      <c r="E19" s="41">
        <f>1-D19</f>
        <v>0.97499999999999998</v>
      </c>
      <c r="F19" s="41"/>
      <c r="J19" s="31" t="s">
        <v>147</v>
      </c>
      <c r="K19" s="48">
        <v>2.5000000000000001E-2</v>
      </c>
      <c r="L19" s="168">
        <v>100.1094977005596</v>
      </c>
      <c r="N19" s="183"/>
      <c r="O19" s="186"/>
      <c r="P19" s="49"/>
      <c r="Q19" s="187"/>
      <c r="R19" s="188"/>
      <c r="S19" s="183"/>
    </row>
    <row r="20" spans="2:19" x14ac:dyDescent="0.2">
      <c r="B20" s="40" t="s">
        <v>2</v>
      </c>
      <c r="C20" s="134">
        <v>119550</v>
      </c>
      <c r="D20" s="42">
        <f>C20</f>
        <v>119550</v>
      </c>
      <c r="E20" s="4">
        <v>127460</v>
      </c>
      <c r="F20" s="42">
        <f>E21+D21</f>
        <v>127262.25</v>
      </c>
      <c r="J20" s="32" t="s">
        <v>150</v>
      </c>
      <c r="K20" s="49">
        <v>0.05</v>
      </c>
      <c r="L20" s="161">
        <v>99.058063003175462</v>
      </c>
      <c r="N20" s="183"/>
      <c r="O20" s="183"/>
      <c r="P20" s="183"/>
      <c r="Q20" s="183"/>
      <c r="R20" s="183"/>
      <c r="S20" s="183"/>
    </row>
    <row r="21" spans="2:19" x14ac:dyDescent="0.2">
      <c r="B21" s="40" t="s">
        <v>41</v>
      </c>
      <c r="C21" s="81"/>
      <c r="D21" s="42">
        <f>D20*D19</f>
        <v>2988.75</v>
      </c>
      <c r="E21" s="42">
        <f>E20*E19</f>
        <v>124273.5</v>
      </c>
      <c r="F21" s="162">
        <f>F20*$H$50</f>
        <v>134.26878134666248</v>
      </c>
      <c r="J21" s="32"/>
      <c r="K21" s="49"/>
      <c r="L21" s="9"/>
      <c r="N21" s="183"/>
      <c r="O21" s="183"/>
      <c r="P21" s="183"/>
      <c r="Q21" s="183"/>
      <c r="R21" s="183"/>
      <c r="S21" s="183"/>
    </row>
    <row r="22" spans="2:19" x14ac:dyDescent="0.2">
      <c r="B22" s="43" t="s">
        <v>4</v>
      </c>
      <c r="C22" s="82"/>
      <c r="D22" s="152">
        <f>D21/$F$20</f>
        <v>2.3484969030486261E-2</v>
      </c>
      <c r="E22" s="152">
        <f>E21/$F$20</f>
        <v>0.97651503096951375</v>
      </c>
      <c r="F22" s="44"/>
      <c r="J22" s="33"/>
      <c r="K22" s="50"/>
      <c r="L22" s="38"/>
    </row>
    <row r="23" spans="2:19" ht="15" x14ac:dyDescent="0.25">
      <c r="B23" s="79" t="s">
        <v>36</v>
      </c>
      <c r="C23" s="83"/>
      <c r="D23" s="46">
        <f>C24*D22</f>
        <v>0.60964193294955815</v>
      </c>
      <c r="E23" s="45">
        <f>E24*E22</f>
        <v>98.056443168822881</v>
      </c>
      <c r="F23" s="46">
        <f>E23+D23</f>
        <v>98.666085101772438</v>
      </c>
      <c r="J23"/>
      <c r="K23"/>
      <c r="L23"/>
    </row>
    <row r="24" spans="2:19" ht="15" x14ac:dyDescent="0.25">
      <c r="B24" s="52" t="s">
        <v>40</v>
      </c>
      <c r="C24" s="85">
        <v>25.958813578087796</v>
      </c>
      <c r="D24" s="86"/>
      <c r="E24" s="85">
        <f>101.156830213959-E26</f>
        <v>100.41467879042217</v>
      </c>
      <c r="F24" s="53"/>
      <c r="J24"/>
      <c r="K24"/>
      <c r="L24"/>
    </row>
    <row r="25" spans="2:19" ht="15" x14ac:dyDescent="0.25">
      <c r="B25" s="40" t="s">
        <v>39</v>
      </c>
      <c r="C25" s="60">
        <v>29.1</v>
      </c>
      <c r="D25" s="66">
        <f>D22*C25</f>
        <v>0.68341259878715022</v>
      </c>
      <c r="E25" s="62"/>
      <c r="F25" s="54">
        <f>D25</f>
        <v>0.68341259878715022</v>
      </c>
      <c r="J25"/>
      <c r="K25"/>
      <c r="L25"/>
    </row>
    <row r="26" spans="2:19" x14ac:dyDescent="0.2">
      <c r="B26" s="55" t="s">
        <v>38</v>
      </c>
      <c r="C26" s="84">
        <f>0.76</f>
        <v>0.76</v>
      </c>
      <c r="D26" s="68">
        <f>C26*D22</f>
        <v>1.784857646316956E-2</v>
      </c>
      <c r="E26" s="165">
        <f>C26*E22</f>
        <v>0.7421514235368305</v>
      </c>
      <c r="F26" s="140">
        <f>D26+E26</f>
        <v>0.76</v>
      </c>
    </row>
    <row r="27" spans="2:19" ht="15" x14ac:dyDescent="0.25">
      <c r="B27" s="57" t="s">
        <v>42</v>
      </c>
      <c r="C27" s="59">
        <v>55.81910085888255</v>
      </c>
      <c r="D27" s="57"/>
      <c r="E27" s="163">
        <f>E24+E26</f>
        <v>101.156830213959</v>
      </c>
      <c r="F27" s="182">
        <f>SUM(F23:F26)</f>
        <v>100.1094977005596</v>
      </c>
      <c r="H27" s="3" t="s">
        <v>138</v>
      </c>
    </row>
    <row r="28" spans="2:19" x14ac:dyDescent="0.2">
      <c r="E28" s="180"/>
    </row>
    <row r="33" spans="2:10" ht="15" x14ac:dyDescent="0.25">
      <c r="B33" s="107" t="s">
        <v>76</v>
      </c>
      <c r="C33" s="108" t="s">
        <v>77</v>
      </c>
      <c r="D33" s="108" t="s">
        <v>78</v>
      </c>
      <c r="E33" s="108" t="s">
        <v>79</v>
      </c>
      <c r="F33" s="108" t="s">
        <v>80</v>
      </c>
      <c r="G33" s="109" t="s">
        <v>81</v>
      </c>
      <c r="H33"/>
      <c r="I33"/>
      <c r="J33"/>
    </row>
    <row r="34" spans="2:10" ht="15" x14ac:dyDescent="0.25">
      <c r="B34" s="110" t="s">
        <v>82</v>
      </c>
      <c r="C34" s="111">
        <v>1</v>
      </c>
      <c r="D34" s="111">
        <v>1000</v>
      </c>
      <c r="E34" s="111">
        <v>1000000</v>
      </c>
      <c r="F34" s="112">
        <v>453.59237000000002</v>
      </c>
      <c r="G34" s="113">
        <f>F34*2000</f>
        <v>907184.74</v>
      </c>
      <c r="H34"/>
      <c r="I34"/>
      <c r="J34"/>
    </row>
    <row r="35" spans="2:10" ht="15" x14ac:dyDescent="0.25">
      <c r="B35" s="110" t="s">
        <v>83</v>
      </c>
      <c r="C35" s="114">
        <f>C34/D34</f>
        <v>1E-3</v>
      </c>
      <c r="D35" s="111">
        <v>1</v>
      </c>
      <c r="E35" s="111">
        <f>E34/D34</f>
        <v>1000</v>
      </c>
      <c r="F35" s="112">
        <f>F34/D34</f>
        <v>0.45359237000000002</v>
      </c>
      <c r="G35" s="115">
        <f>G34/D34</f>
        <v>907.18474000000003</v>
      </c>
      <c r="H35"/>
      <c r="I35"/>
      <c r="J35"/>
    </row>
    <row r="36" spans="2:10" ht="15" x14ac:dyDescent="0.25">
      <c r="B36" s="110" t="s">
        <v>84</v>
      </c>
      <c r="C36" s="114">
        <f>C34/E34</f>
        <v>9.9999999999999995E-7</v>
      </c>
      <c r="D36" s="114">
        <f>D34/E34</f>
        <v>1E-3</v>
      </c>
      <c r="E36" s="111">
        <v>1</v>
      </c>
      <c r="F36" s="114">
        <f>F34/E34</f>
        <v>4.5359237000000004E-4</v>
      </c>
      <c r="G36" s="115">
        <f>G34/E34</f>
        <v>0.90718474000000004</v>
      </c>
      <c r="H36"/>
      <c r="I36"/>
      <c r="J36"/>
    </row>
    <row r="37" spans="2:10" ht="15" x14ac:dyDescent="0.25">
      <c r="B37" s="110" t="s">
        <v>85</v>
      </c>
      <c r="C37" s="114">
        <f>C34/F34</f>
        <v>2.2046226218487759E-3</v>
      </c>
      <c r="D37" s="112">
        <f>D34/F34</f>
        <v>2.2046226218487757</v>
      </c>
      <c r="E37" s="111">
        <f>E34/F34</f>
        <v>2204.6226218487759</v>
      </c>
      <c r="F37" s="111">
        <v>1</v>
      </c>
      <c r="G37" s="113">
        <f>G34/F34</f>
        <v>2000</v>
      </c>
      <c r="H37"/>
      <c r="I37"/>
      <c r="J37"/>
    </row>
    <row r="38" spans="2:10" ht="15" x14ac:dyDescent="0.25">
      <c r="B38" s="116" t="s">
        <v>86</v>
      </c>
      <c r="C38" s="117">
        <f>C34/G34</f>
        <v>1.102311310924388E-6</v>
      </c>
      <c r="D38" s="117">
        <f>D34/G34</f>
        <v>1.1023113109243879E-3</v>
      </c>
      <c r="E38" s="118">
        <f>E34/G34</f>
        <v>1.1023113109243878</v>
      </c>
      <c r="F38" s="117">
        <f>F34/G34</f>
        <v>5.0000000000000001E-4</v>
      </c>
      <c r="G38" s="119">
        <v>1</v>
      </c>
      <c r="H38"/>
      <c r="I38"/>
      <c r="J38"/>
    </row>
    <row r="39" spans="2:10" ht="15" x14ac:dyDescent="0.25">
      <c r="B39"/>
      <c r="C39"/>
      <c r="D39"/>
      <c r="E39"/>
      <c r="F39"/>
      <c r="G39"/>
      <c r="H39"/>
      <c r="I39"/>
      <c r="J39"/>
    </row>
    <row r="40" spans="2:10" ht="15" x14ac:dyDescent="0.25">
      <c r="B40" s="107" t="s">
        <v>87</v>
      </c>
      <c r="C40" s="108" t="s">
        <v>88</v>
      </c>
      <c r="D40" s="108" t="s">
        <v>89</v>
      </c>
      <c r="E40" s="108" t="s">
        <v>90</v>
      </c>
      <c r="F40" s="108" t="s">
        <v>91</v>
      </c>
      <c r="G40" s="109" t="s">
        <v>92</v>
      </c>
      <c r="H40"/>
      <c r="I40"/>
      <c r="J40"/>
    </row>
    <row r="41" spans="2:10" ht="15" x14ac:dyDescent="0.25">
      <c r="B41" s="110" t="s">
        <v>93</v>
      </c>
      <c r="C41" s="120">
        <v>1</v>
      </c>
      <c r="D41" s="121">
        <v>9.9999999999999995E-7</v>
      </c>
      <c r="E41" s="122">
        <v>1E-3</v>
      </c>
      <c r="F41" s="123">
        <v>3.7854109999999998E-3</v>
      </c>
      <c r="G41" s="124">
        <v>2.8316846999999999E-2</v>
      </c>
      <c r="H41"/>
      <c r="I41"/>
      <c r="J41"/>
    </row>
    <row r="42" spans="2:10" ht="15" x14ac:dyDescent="0.25">
      <c r="B42" s="110" t="s">
        <v>94</v>
      </c>
      <c r="C42" s="111">
        <f>C41/D41</f>
        <v>1000000</v>
      </c>
      <c r="D42" s="111">
        <v>1</v>
      </c>
      <c r="E42" s="111">
        <f>E41/D41</f>
        <v>1000.0000000000001</v>
      </c>
      <c r="F42" s="111">
        <f>F41/D41</f>
        <v>3785.4110000000001</v>
      </c>
      <c r="G42" s="113">
        <f>G41/D41</f>
        <v>28316.847000000002</v>
      </c>
      <c r="H42"/>
      <c r="I42"/>
      <c r="J42"/>
    </row>
    <row r="43" spans="2:10" ht="15" x14ac:dyDescent="0.25">
      <c r="B43" s="110" t="s">
        <v>95</v>
      </c>
      <c r="C43" s="111">
        <f>C41/E41</f>
        <v>1000</v>
      </c>
      <c r="D43" s="112">
        <f>D41/E41</f>
        <v>1E-3</v>
      </c>
      <c r="E43" s="111">
        <v>1</v>
      </c>
      <c r="F43" s="112">
        <f>F41/E41</f>
        <v>3.7854109999999999</v>
      </c>
      <c r="G43" s="115">
        <f>G41/E41</f>
        <v>28.316846999999999</v>
      </c>
      <c r="H43"/>
      <c r="I43"/>
      <c r="J43"/>
    </row>
    <row r="44" spans="2:10" ht="15" x14ac:dyDescent="0.25">
      <c r="B44" s="110" t="s">
        <v>96</v>
      </c>
      <c r="C44" s="125">
        <f>C41/F41</f>
        <v>264.17210707106841</v>
      </c>
      <c r="D44" s="114">
        <f>D41/F41</f>
        <v>2.6417210707106839E-4</v>
      </c>
      <c r="E44" s="112">
        <f>E41/F41</f>
        <v>0.26417210707106842</v>
      </c>
      <c r="F44" s="111">
        <v>1</v>
      </c>
      <c r="G44" s="115">
        <f>G41/F41</f>
        <v>7.4805211375990615</v>
      </c>
      <c r="H44"/>
      <c r="I44"/>
      <c r="J44"/>
    </row>
    <row r="45" spans="2:10" ht="15" x14ac:dyDescent="0.25">
      <c r="B45" s="116" t="s">
        <v>97</v>
      </c>
      <c r="C45" s="126">
        <f>C41/G41</f>
        <v>35.314666212661322</v>
      </c>
      <c r="D45" s="117">
        <f>D41/G41</f>
        <v>3.5314666212661319E-5</v>
      </c>
      <c r="E45" s="118">
        <f>E41/G41</f>
        <v>3.5314666212661321E-2</v>
      </c>
      <c r="F45" s="118">
        <f>F41/G41</f>
        <v>0.13368052594273649</v>
      </c>
      <c r="G45" s="119">
        <v>1</v>
      </c>
      <c r="H45"/>
      <c r="I45"/>
      <c r="J45"/>
    </row>
    <row r="46" spans="2:10" ht="15" x14ac:dyDescent="0.25">
      <c r="B46"/>
      <c r="C46"/>
      <c r="D46"/>
      <c r="E46"/>
      <c r="F46"/>
      <c r="G46"/>
      <c r="H46"/>
      <c r="I46"/>
      <c r="J46"/>
    </row>
    <row r="47" spans="2:10" ht="15" x14ac:dyDescent="0.25">
      <c r="B47" s="107" t="s">
        <v>98</v>
      </c>
      <c r="C47" s="108" t="s">
        <v>99</v>
      </c>
      <c r="D47" s="108" t="s">
        <v>100</v>
      </c>
      <c r="E47" s="108" t="s">
        <v>101</v>
      </c>
      <c r="F47" s="108" t="s">
        <v>102</v>
      </c>
      <c r="G47" s="108" t="s">
        <v>103</v>
      </c>
      <c r="H47" s="108" t="s">
        <v>104</v>
      </c>
      <c r="I47" s="108" t="s">
        <v>105</v>
      </c>
      <c r="J47" s="109" t="s">
        <v>106</v>
      </c>
    </row>
    <row r="48" spans="2:10" ht="15" x14ac:dyDescent="0.25">
      <c r="B48" s="110" t="s">
        <v>107</v>
      </c>
      <c r="C48" s="111">
        <v>1</v>
      </c>
      <c r="D48" s="111">
        <v>1000</v>
      </c>
      <c r="E48" s="111">
        <v>1000000</v>
      </c>
      <c r="F48" s="111">
        <v>3600</v>
      </c>
      <c r="G48" s="111">
        <v>3600000</v>
      </c>
      <c r="H48" s="111">
        <v>1055.05585</v>
      </c>
      <c r="I48" s="111">
        <f>H48*1000000</f>
        <v>1055055850</v>
      </c>
      <c r="J48" s="127">
        <f>1/C55</f>
        <v>2684519.5376862194</v>
      </c>
    </row>
    <row r="49" spans="2:10" ht="15" x14ac:dyDescent="0.25">
      <c r="B49" s="110" t="s">
        <v>108</v>
      </c>
      <c r="C49" s="112">
        <f>J2J/D48</f>
        <v>0</v>
      </c>
      <c r="D49" s="111">
        <v>1</v>
      </c>
      <c r="E49" s="111">
        <f>E48/D48</f>
        <v>1000</v>
      </c>
      <c r="F49" s="125">
        <f>F48/D48</f>
        <v>3.6</v>
      </c>
      <c r="G49" s="111">
        <f>G48/D48</f>
        <v>3600</v>
      </c>
      <c r="H49" s="112">
        <f>H48/D48</f>
        <v>1.05505585</v>
      </c>
      <c r="I49" s="111">
        <f>I48/D48</f>
        <v>1055055.8500000001</v>
      </c>
      <c r="J49" s="127">
        <f>1/D55</f>
        <v>2684.5195376862198</v>
      </c>
    </row>
    <row r="50" spans="2:10" ht="15" x14ac:dyDescent="0.25">
      <c r="B50" s="110" t="s">
        <v>109</v>
      </c>
      <c r="C50" s="114">
        <f>C48/E48</f>
        <v>9.9999999999999995E-7</v>
      </c>
      <c r="D50" s="112">
        <f>D48/E48</f>
        <v>1E-3</v>
      </c>
      <c r="E50" s="111">
        <v>1</v>
      </c>
      <c r="F50" s="128">
        <f>F48/E48</f>
        <v>3.5999999999999999E-3</v>
      </c>
      <c r="G50" s="125">
        <f>G48/E48</f>
        <v>3.6</v>
      </c>
      <c r="H50" s="114">
        <f>H48/E48</f>
        <v>1.0550558499999999E-3</v>
      </c>
      <c r="I50" s="111">
        <f>I48/E48</f>
        <v>1055.05585</v>
      </c>
      <c r="J50" s="127">
        <f>1/E55</f>
        <v>2.6845195376862194</v>
      </c>
    </row>
    <row r="51" spans="2:10" ht="15" x14ac:dyDescent="0.25">
      <c r="B51" s="110" t="s">
        <v>110</v>
      </c>
      <c r="C51" s="114">
        <f>C48/F48</f>
        <v>2.7777777777777778E-4</v>
      </c>
      <c r="D51" s="112">
        <f>D48/F48</f>
        <v>0.27777777777777779</v>
      </c>
      <c r="E51" s="111">
        <f>E48/F48</f>
        <v>277.77777777777777</v>
      </c>
      <c r="F51" s="111">
        <v>1</v>
      </c>
      <c r="G51" s="111">
        <f>G48/F48</f>
        <v>1000</v>
      </c>
      <c r="H51" s="112">
        <f>H48/F48</f>
        <v>0.29307106944444444</v>
      </c>
      <c r="I51" s="111">
        <f>I48/F48</f>
        <v>293071.06944444444</v>
      </c>
      <c r="J51" s="127">
        <f>1/F55</f>
        <v>745.69987157950538</v>
      </c>
    </row>
    <row r="52" spans="2:10" ht="15" x14ac:dyDescent="0.25">
      <c r="B52" s="110" t="s">
        <v>111</v>
      </c>
      <c r="C52" s="129">
        <f>C48/G48</f>
        <v>2.7777777777777776E-7</v>
      </c>
      <c r="D52" s="114">
        <f>D48/G48</f>
        <v>2.7777777777777778E-4</v>
      </c>
      <c r="E52" s="112">
        <f>E48/G48</f>
        <v>0.27777777777777779</v>
      </c>
      <c r="F52" s="112">
        <f>F48/G48</f>
        <v>1E-3</v>
      </c>
      <c r="G52" s="111">
        <v>1</v>
      </c>
      <c r="H52" s="114">
        <f>H48/G48</f>
        <v>2.9307106944444444E-4</v>
      </c>
      <c r="I52" s="111">
        <f>I48/G48</f>
        <v>293.07106944444445</v>
      </c>
      <c r="J52" s="127">
        <f>1/G55</f>
        <v>0.74569987157950535</v>
      </c>
    </row>
    <row r="53" spans="2:10" ht="15" x14ac:dyDescent="0.25">
      <c r="B53" s="110" t="s">
        <v>112</v>
      </c>
      <c r="C53" s="114">
        <f>C48/H48</f>
        <v>9.4781712266701337E-4</v>
      </c>
      <c r="D53" s="112">
        <f>D48/H48</f>
        <v>0.94781712266701335</v>
      </c>
      <c r="E53" s="111">
        <f>E48/H48</f>
        <v>947.81712266701334</v>
      </c>
      <c r="F53" s="112">
        <f>F48/H48</f>
        <v>3.4121416416012482</v>
      </c>
      <c r="G53" s="111">
        <f>G48/H48</f>
        <v>3412.141641601248</v>
      </c>
      <c r="H53" s="111">
        <v>1</v>
      </c>
      <c r="I53" s="111">
        <f>I48/H48</f>
        <v>1000000</v>
      </c>
      <c r="J53" s="127" t="e">
        <f>1/H55</f>
        <v>#DIV/0!</v>
      </c>
    </row>
    <row r="54" spans="2:10" ht="15" x14ac:dyDescent="0.25">
      <c r="B54" s="110" t="s">
        <v>113</v>
      </c>
      <c r="C54" s="130">
        <f>C48/I48</f>
        <v>9.4781712266701324E-10</v>
      </c>
      <c r="D54" s="114">
        <f>D48/I48</f>
        <v>9.4781712266701337E-7</v>
      </c>
      <c r="E54" s="114">
        <f>E48/I48</f>
        <v>9.4781712266701326E-4</v>
      </c>
      <c r="F54" s="131">
        <f>F48/I48</f>
        <v>3.4121416416012478E-6</v>
      </c>
      <c r="G54" s="114">
        <f>G48/I48</f>
        <v>3.4121416416012479E-3</v>
      </c>
      <c r="H54" s="114">
        <f>H48/I48</f>
        <v>9.9999999999999995E-7</v>
      </c>
      <c r="I54" s="111">
        <v>1</v>
      </c>
      <c r="J54" s="127" t="e">
        <f>1/I55</f>
        <v>#DIV/0!</v>
      </c>
    </row>
    <row r="55" spans="2:10" ht="15" x14ac:dyDescent="0.25">
      <c r="B55" s="116" t="s">
        <v>114</v>
      </c>
      <c r="C55" s="132">
        <f>D55/1000</f>
        <v>3.72506136E-7</v>
      </c>
      <c r="D55" s="132">
        <f>E55/1000</f>
        <v>3.7250613599999999E-4</v>
      </c>
      <c r="E55" s="132">
        <f>G55/3.6</f>
        <v>0.37250613599999999</v>
      </c>
      <c r="F55" s="132">
        <f>G55/1000</f>
        <v>1.3410220896E-3</v>
      </c>
      <c r="G55" s="132">
        <v>1.3410220896</v>
      </c>
      <c r="H55" s="132" t="e">
        <f>G55/kWh2BTU</f>
        <v>#DIV/0!</v>
      </c>
      <c r="I55" s="132" t="e">
        <f>H55*1000000</f>
        <v>#DIV/0!</v>
      </c>
      <c r="J55" s="133">
        <v>1</v>
      </c>
    </row>
  </sheetData>
  <mergeCells count="1">
    <mergeCell ref="A1:J1"/>
  </mergeCells>
  <phoneticPr fontId="7" type="noConversion"/>
  <pageMargins left="0.7" right="0.7" top="0.75" bottom="0.75" header="0.3" footer="0.3"/>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G24"/>
  <sheetViews>
    <sheetView workbookViewId="0">
      <selection activeCell="A16" sqref="A16"/>
    </sheetView>
  </sheetViews>
  <sheetFormatPr defaultRowHeight="15" x14ac:dyDescent="0.25"/>
  <cols>
    <col min="1" max="1" width="22" bestFit="1" customWidth="1"/>
    <col min="2" max="2" width="18.28515625" bestFit="1" customWidth="1"/>
    <col min="3" max="3" width="13.42578125" bestFit="1" customWidth="1"/>
    <col min="5" max="5" width="22" bestFit="1" customWidth="1"/>
    <col min="6" max="6" width="18.28515625" bestFit="1" customWidth="1"/>
    <col min="7" max="7" width="13.42578125" bestFit="1" customWidth="1"/>
  </cols>
  <sheetData>
    <row r="1" spans="1:7" ht="18.75" x14ac:dyDescent="0.3">
      <c r="A1" s="147" t="s">
        <v>124</v>
      </c>
      <c r="B1" s="148"/>
      <c r="C1" s="148"/>
      <c r="D1" s="148"/>
      <c r="E1" s="147" t="s">
        <v>125</v>
      </c>
    </row>
    <row r="2" spans="1:7" ht="15.75" thickBot="1" x14ac:dyDescent="0.3">
      <c r="A2" s="96" t="s">
        <v>135</v>
      </c>
      <c r="B2" s="96" t="s">
        <v>56</v>
      </c>
      <c r="C2" s="97" t="s">
        <v>74</v>
      </c>
      <c r="E2" s="96" t="s">
        <v>135</v>
      </c>
      <c r="F2" s="96" t="s">
        <v>56</v>
      </c>
      <c r="G2" s="97" t="s">
        <v>74</v>
      </c>
    </row>
    <row r="3" spans="1:7" ht="15.75" thickTop="1" x14ac:dyDescent="0.25">
      <c r="A3" s="88" t="s">
        <v>58</v>
      </c>
      <c r="B3" s="88"/>
      <c r="C3" s="92">
        <v>26856</v>
      </c>
      <c r="E3" s="88" t="s">
        <v>58</v>
      </c>
      <c r="F3" s="88"/>
      <c r="G3" s="92">
        <v>1745.73</v>
      </c>
    </row>
    <row r="4" spans="1:7" x14ac:dyDescent="0.25">
      <c r="A4" s="88" t="s">
        <v>51</v>
      </c>
      <c r="B4" s="88" t="s">
        <v>60</v>
      </c>
      <c r="C4" s="92">
        <v>24323.409521812762</v>
      </c>
      <c r="E4" s="88" t="s">
        <v>51</v>
      </c>
      <c r="F4" s="88" t="s">
        <v>119</v>
      </c>
      <c r="G4" s="92">
        <v>865.00921500000004</v>
      </c>
    </row>
    <row r="5" spans="1:7" x14ac:dyDescent="0.25">
      <c r="A5" s="88" t="s">
        <v>59</v>
      </c>
      <c r="B5" s="88" t="s">
        <v>60</v>
      </c>
      <c r="C5" s="92">
        <v>0</v>
      </c>
      <c r="E5" s="88" t="s">
        <v>115</v>
      </c>
      <c r="F5" s="88" t="s">
        <v>119</v>
      </c>
      <c r="G5" s="92">
        <v>0</v>
      </c>
    </row>
    <row r="6" spans="1:7" x14ac:dyDescent="0.25">
      <c r="A6" s="88" t="s">
        <v>52</v>
      </c>
      <c r="B6" s="88" t="s">
        <v>61</v>
      </c>
      <c r="C6" s="93">
        <v>0.74222899990715097</v>
      </c>
      <c r="E6" s="88" t="s">
        <v>52</v>
      </c>
      <c r="F6" s="88" t="s">
        <v>120</v>
      </c>
      <c r="G6" s="143">
        <v>1.3762657571847626E-2</v>
      </c>
    </row>
    <row r="7" spans="1:7" x14ac:dyDescent="0.25">
      <c r="A7" s="89" t="s">
        <v>57</v>
      </c>
      <c r="B7" s="89" t="s">
        <v>62</v>
      </c>
      <c r="C7" s="93">
        <v>5.6348599999999998</v>
      </c>
      <c r="E7" s="89" t="s">
        <v>116</v>
      </c>
      <c r="F7" s="89" t="s">
        <v>121</v>
      </c>
      <c r="G7" s="93">
        <v>0.2</v>
      </c>
    </row>
    <row r="8" spans="1:7" x14ac:dyDescent="0.25">
      <c r="A8" s="89" t="s">
        <v>53</v>
      </c>
      <c r="B8" s="89" t="s">
        <v>62</v>
      </c>
      <c r="C8" s="105">
        <v>0</v>
      </c>
      <c r="E8" s="89" t="s">
        <v>117</v>
      </c>
      <c r="F8" s="89" t="s">
        <v>122</v>
      </c>
      <c r="G8" s="105">
        <v>0.84745762711864414</v>
      </c>
    </row>
    <row r="9" spans="1:7" x14ac:dyDescent="0.25">
      <c r="A9" s="89" t="s">
        <v>54</v>
      </c>
      <c r="B9" s="89" t="s">
        <v>63</v>
      </c>
      <c r="C9" s="105">
        <v>2.8822058381758109</v>
      </c>
      <c r="E9" s="89" t="s">
        <v>118</v>
      </c>
      <c r="F9" s="89" t="s">
        <v>123</v>
      </c>
      <c r="G9" s="105">
        <v>0.12</v>
      </c>
    </row>
    <row r="10" spans="1:7" x14ac:dyDescent="0.25">
      <c r="A10" s="89"/>
      <c r="B10" s="89"/>
      <c r="C10" s="94"/>
      <c r="E10" s="89"/>
      <c r="F10" s="89"/>
      <c r="G10" s="94"/>
    </row>
    <row r="11" spans="1:7" x14ac:dyDescent="0.25">
      <c r="A11" s="90" t="s">
        <v>133</v>
      </c>
      <c r="B11" s="90"/>
      <c r="C11" s="95" t="s">
        <v>75</v>
      </c>
      <c r="E11" s="90" t="s">
        <v>133</v>
      </c>
      <c r="F11" s="90"/>
      <c r="G11" s="95" t="s">
        <v>75</v>
      </c>
    </row>
    <row r="12" spans="1:7" x14ac:dyDescent="0.25">
      <c r="A12" s="91"/>
      <c r="B12" s="91"/>
      <c r="C12" s="91"/>
      <c r="E12" s="91"/>
      <c r="F12" s="91"/>
      <c r="G12" s="91"/>
    </row>
    <row r="13" spans="1:7" ht="15.75" thickBot="1" x14ac:dyDescent="0.3">
      <c r="A13" s="97" t="s">
        <v>55</v>
      </c>
      <c r="B13" s="97"/>
      <c r="C13" s="97" t="s">
        <v>74</v>
      </c>
      <c r="E13" s="97" t="s">
        <v>55</v>
      </c>
      <c r="F13" s="97"/>
      <c r="G13" s="97" t="s">
        <v>74</v>
      </c>
    </row>
    <row r="14" spans="1:7" ht="15.75" thickTop="1" x14ac:dyDescent="0.25">
      <c r="A14" s="32" t="s">
        <v>64</v>
      </c>
      <c r="B14" s="101" t="s">
        <v>73</v>
      </c>
      <c r="C14" s="102">
        <v>2.5127670486919018</v>
      </c>
      <c r="E14" s="32" t="s">
        <v>128</v>
      </c>
      <c r="F14" s="101" t="s">
        <v>73</v>
      </c>
      <c r="G14" s="102">
        <v>2.4162561439602461</v>
      </c>
    </row>
    <row r="15" spans="1:7" x14ac:dyDescent="0.25">
      <c r="A15" s="32" t="s">
        <v>65</v>
      </c>
      <c r="B15" s="101" t="s">
        <v>73</v>
      </c>
      <c r="C15" s="102">
        <v>5.4062563774886367</v>
      </c>
      <c r="E15" s="32" t="s">
        <v>129</v>
      </c>
      <c r="F15" s="101" t="s">
        <v>73</v>
      </c>
      <c r="G15" s="102">
        <v>4.1580108536491061</v>
      </c>
    </row>
    <row r="16" spans="1:7" x14ac:dyDescent="0.25">
      <c r="A16" s="32" t="s">
        <v>66</v>
      </c>
      <c r="B16" s="101" t="s">
        <v>73</v>
      </c>
      <c r="C16" s="102">
        <v>7.6144456020966729E-3</v>
      </c>
      <c r="E16" s="32" t="s">
        <v>68</v>
      </c>
      <c r="F16" s="101" t="s">
        <v>73</v>
      </c>
      <c r="G16" s="102">
        <v>1.8896666666666668</v>
      </c>
    </row>
    <row r="17" spans="1:7" x14ac:dyDescent="0.25">
      <c r="A17" s="32" t="s">
        <v>67</v>
      </c>
      <c r="B17" s="101" t="s">
        <v>73</v>
      </c>
      <c r="C17" s="102">
        <v>2.7412004167548019</v>
      </c>
      <c r="E17" s="32" t="s">
        <v>130</v>
      </c>
      <c r="F17" s="101" t="s">
        <v>73</v>
      </c>
      <c r="G17" s="102">
        <v>1.053126531664007</v>
      </c>
    </row>
    <row r="18" spans="1:7" x14ac:dyDescent="0.25">
      <c r="A18" s="32" t="s">
        <v>68</v>
      </c>
      <c r="B18" s="101" t="s">
        <v>73</v>
      </c>
      <c r="C18" s="102">
        <v>4.6504465070245224</v>
      </c>
      <c r="E18" s="32" t="s">
        <v>131</v>
      </c>
      <c r="F18" s="101" t="s">
        <v>73</v>
      </c>
      <c r="G18" s="102">
        <v>0.14046875</v>
      </c>
    </row>
    <row r="19" spans="1:7" x14ac:dyDescent="0.25">
      <c r="A19" s="32" t="s">
        <v>69</v>
      </c>
      <c r="B19" s="101" t="s">
        <v>73</v>
      </c>
      <c r="C19" s="102">
        <v>17.817802708906221</v>
      </c>
      <c r="E19" s="33" t="s">
        <v>132</v>
      </c>
      <c r="F19" s="98" t="s">
        <v>73</v>
      </c>
      <c r="G19" s="99">
        <v>0</v>
      </c>
    </row>
    <row r="20" spans="1:7" x14ac:dyDescent="0.25">
      <c r="A20" s="103" t="s">
        <v>70</v>
      </c>
      <c r="B20" s="101" t="s">
        <v>73</v>
      </c>
      <c r="C20" s="102">
        <v>22.348397842153734</v>
      </c>
    </row>
    <row r="21" spans="1:7" x14ac:dyDescent="0.25">
      <c r="A21" s="103" t="s">
        <v>71</v>
      </c>
      <c r="B21" s="101" t="s">
        <v>73</v>
      </c>
      <c r="C21" s="102">
        <v>10.660223842935341</v>
      </c>
    </row>
    <row r="22" spans="1:7" x14ac:dyDescent="0.25">
      <c r="A22" s="100" t="s">
        <v>72</v>
      </c>
      <c r="B22" s="98" t="s">
        <v>73</v>
      </c>
      <c r="C22" s="99">
        <v>0</v>
      </c>
      <c r="E22" s="144" t="s">
        <v>126</v>
      </c>
      <c r="F22" s="144" t="s">
        <v>127</v>
      </c>
      <c r="G22" s="145">
        <f>60*(1-0.13)</f>
        <v>52.2</v>
      </c>
    </row>
    <row r="24" spans="1:7" x14ac:dyDescent="0.25">
      <c r="A24" s="146" t="s">
        <v>134</v>
      </c>
      <c r="E24" s="14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vt:lpstr>
      <vt:lpstr>Fuel Blending_2017</vt:lpstr>
      <vt:lpstr>EtOH and BD inputs</vt:lpstr>
      <vt:lpstr>J2J</vt:lpstr>
      <vt:lpstr>kWh2BTU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Baseline Carbon Intensities for Blended Fuels, July 15, 2022</dc:title>
  <dc:subject>clean fuel standard, CFS, 173-42</dc:subject>
  <dc:creator>Dererie, Debebe (ECY)</dc:creator>
  <cp:keywords>clean fuel standard, CFS, 173-42</cp:keywords>
  <cp:lastModifiedBy>Dererie, Debebe (ECY)</cp:lastModifiedBy>
  <cp:lastPrinted>2013-08-05T17:53:32Z</cp:lastPrinted>
  <dcterms:created xsi:type="dcterms:W3CDTF">2012-06-14T18:26:41Z</dcterms:created>
  <dcterms:modified xsi:type="dcterms:W3CDTF">2023-01-18T02:29:20Z</dcterms:modified>
</cp:coreProperties>
</file>