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userName="Duerr, Miriam (ECY)" algorithmName="SHA-512" hashValue="kZUbdTczmtel/0fK4jHNIxM/qWy/H6LG9KcQ9d23t74plt1+dqVQF6WvZegferox8xf/zR6ppIdus7h1kgU3AA==" saltValue="VD82iuO/TOsKZyWv/BB+3A==" spinCount="100000"/>
  <workbookPr updateLinks="never" codeName="ThisWorkbook" defaultThemeVersion="124226"/>
  <mc:AlternateContent xmlns:mc="http://schemas.openxmlformats.org/markup-compatibility/2006">
    <mc:Choice Requires="x15">
      <x15ac:absPath xmlns:x15ac="http://schemas.microsoft.com/office/spreadsheetml/2010/11/ac" url="C:\Users\mdue461\Desktop\Stuff2Do\CFS\DebebesDocs\Other\"/>
    </mc:Choice>
  </mc:AlternateContent>
  <xr:revisionPtr revIDLastSave="0" documentId="8_{1FD0D3FF-C092-473B-8EAA-BF5663687B4B}" xr6:coauthVersionLast="47" xr6:coauthVersionMax="47" xr10:uidLastSave="{00000000-0000-0000-0000-000000000000}"/>
  <bookViews>
    <workbookView xWindow="-120" yWindow="-120" windowWidth="24240" windowHeight="13290" tabRatio="836" xr2:uid="{00000000-000D-0000-FFFF-FFFF00000000}"/>
  </bookViews>
  <sheets>
    <sheet name="Intro" sheetId="15" r:id="rId1"/>
    <sheet name="Fuel Blending" sheetId="14" r:id="rId2"/>
    <sheet name="EtOH and BD inputs" sheetId="16" r:id="rId3"/>
  </sheets>
  <externalReferences>
    <externalReference r:id="rId4"/>
    <externalReference r:id="rId5"/>
    <externalReference r:id="rId6"/>
    <externalReference r:id="rId7"/>
    <externalReference r:id="rId8"/>
  </externalReferences>
  <definedNames>
    <definedName name="___thinkcell.lTIEE0Pf0mAsVhQ11lCfQ"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'Fuel Blending'!$B$145</definedName>
    <definedName name="JperBtu">#REF!</definedName>
    <definedName name="K_MW">[2]Factors!$D$23</definedName>
    <definedName name="kWh2BTU">'Fuel Blending'!$F$150</definedName>
    <definedName name="lb2g">[5]Fuel_Specs!$E$113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91029" calcMode="manual"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4" l="1"/>
  <c r="C6" i="14" s="1"/>
  <c r="D6" i="14"/>
  <c r="D9" i="14"/>
  <c r="C12" i="14"/>
  <c r="E12" i="14"/>
  <c r="H11" i="14" l="1"/>
  <c r="G22" i="16" l="1"/>
  <c r="C26" i="14" l="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C27" i="14" l="1"/>
  <c r="J50" i="14"/>
  <c r="G36" i="14"/>
  <c r="G35" i="14"/>
  <c r="G37" i="14"/>
  <c r="J49" i="14"/>
  <c r="C55" i="14"/>
  <c r="J48" i="14" s="1"/>
  <c r="C54" i="14"/>
  <c r="D54" i="14"/>
  <c r="G54" i="14"/>
  <c r="F54" i="14"/>
  <c r="C38" i="14"/>
  <c r="I52" i="14"/>
  <c r="J53" i="14"/>
  <c r="D38" i="14"/>
  <c r="I51" i="14"/>
  <c r="I49" i="14"/>
  <c r="H54" i="14"/>
  <c r="E38" i="14"/>
  <c r="I50" i="14"/>
  <c r="I53" i="14"/>
  <c r="E19" i="14" l="1"/>
  <c r="E21" i="14" s="1"/>
  <c r="G4" i="14"/>
  <c r="B5" i="15"/>
  <c r="D20" i="14" l="1"/>
  <c r="D21" i="14" s="1"/>
  <c r="G6" i="14"/>
  <c r="E5" i="14" l="1"/>
  <c r="F20" i="14"/>
  <c r="E6" i="14" l="1"/>
  <c r="C7" i="14"/>
  <c r="C8" i="14" s="1"/>
  <c r="D7" i="14"/>
  <c r="D8" i="14" s="1"/>
  <c r="E22" i="14"/>
  <c r="E26" i="14" s="1"/>
  <c r="F21" i="14"/>
  <c r="F5" i="14"/>
  <c r="F6" i="14" s="1"/>
  <c r="H5" i="14" s="1"/>
  <c r="H6" i="14" s="1"/>
  <c r="D22" i="14"/>
  <c r="D26" i="14" s="1"/>
  <c r="F26" i="14" s="1"/>
  <c r="E23" i="14" l="1"/>
  <c r="D23" i="14"/>
  <c r="F7" i="14"/>
  <c r="F11" i="14" s="1"/>
  <c r="L9" i="14"/>
  <c r="G7" i="14"/>
  <c r="D25" i="14"/>
  <c r="F25" i="14" s="1"/>
  <c r="F23" i="14"/>
  <c r="F10" i="14" l="1"/>
  <c r="H10" i="14" s="1"/>
  <c r="K9" i="14"/>
  <c r="F8" i="14"/>
  <c r="G11" i="14"/>
  <c r="G9" i="14" s="1"/>
  <c r="G8" i="14" s="1"/>
  <c r="F27" i="14"/>
  <c r="H8" i="14" l="1"/>
  <c r="H12" i="14"/>
  <c r="F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Love Goyal</author>
    <author>Stefan Unnasch</author>
    <author>Stefan</author>
  </authors>
  <commentList>
    <comment ref="F4" authorId="0" shapeId="0" xr:uid="{00000000-0006-0000-0100-000001000000}">
      <text>
        <r>
          <rPr>
            <b/>
            <sz val="9"/>
            <color indexed="81"/>
            <rFont val="Tahoma"/>
            <family val="2"/>
          </rPr>
          <t>Love Goyal:</t>
        </r>
        <r>
          <rPr>
            <sz val="9"/>
            <color indexed="81"/>
            <rFont val="Tahoma"/>
            <family val="2"/>
          </rPr>
          <t xml:space="preserve">
Average Washington blend level for 2017 based on EIA data</t>
        </r>
      </text>
    </comment>
    <comment ref="G9" authorId="1" shapeId="0" xr:uid="{00000000-0006-0000-0100-000002000000}">
      <text>
        <r>
          <rPr>
            <b/>
            <sz val="9"/>
            <color indexed="81"/>
            <rFont val="Tahoma"/>
            <family val="2"/>
          </rPr>
          <t>Stefan Unnasch:</t>
        </r>
        <r>
          <rPr>
            <sz val="9"/>
            <color indexed="81"/>
            <rFont val="Tahoma"/>
            <family val="2"/>
          </rPr>
          <t xml:space="preserve">
2017 Scenario Year, US Feed, WA Fuel</t>
        </r>
      </text>
    </comment>
    <comment ref="C11" authorId="2" shapeId="0" xr:uid="{00000000-0006-0000-0100-000003000000}">
      <text>
        <r>
          <rPr>
            <b/>
            <sz val="9"/>
            <color indexed="81"/>
            <rFont val="Tahoma"/>
            <family val="2"/>
          </rPr>
          <t>Stefan:</t>
        </r>
        <r>
          <rPr>
            <sz val="9"/>
            <color indexed="81"/>
            <rFont val="Tahoma"/>
            <family val="2"/>
          </rPr>
          <t xml:space="preserve">
ARB has chosen not to report the vehicle emissions in the WTT CI.</t>
        </r>
      </text>
    </comment>
    <comment ref="F11" authorId="2" shapeId="0" xr:uid="{00000000-0006-0000-0100-00000400000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C12" authorId="2" shapeId="0" xr:uid="{00000000-0006-0000-0100-000005000000}">
      <text>
        <r>
          <rPr>
            <b/>
            <sz val="9"/>
            <color indexed="81"/>
            <rFont val="Tahoma"/>
            <family val="2"/>
          </rPr>
          <t>Stefan:</t>
        </r>
        <r>
          <rPr>
            <sz val="9"/>
            <color indexed="81"/>
            <rFont val="Tahoma"/>
            <family val="2"/>
          </rPr>
          <t xml:space="preserve">
This would be reported in a pathway document</t>
        </r>
      </text>
    </comment>
    <comment ref="D19" authorId="0" shapeId="0" xr:uid="{00000000-0006-0000-0100-000006000000}">
      <text>
        <r>
          <rPr>
            <b/>
            <sz val="9"/>
            <color indexed="81"/>
            <rFont val="Tahoma"/>
            <family val="2"/>
          </rPr>
          <t>Love Goyal:</t>
        </r>
        <r>
          <rPr>
            <sz val="9"/>
            <color indexed="81"/>
            <rFont val="Tahoma"/>
            <family val="2"/>
          </rPr>
          <t xml:space="preserve">
Average Washington blend level for 2017 based on EIA data</t>
        </r>
      </text>
    </comment>
    <comment ref="E20" authorId="0" shapeId="0" xr:uid="{00000000-0006-0000-0100-00000700000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<sst xmlns="http://schemas.openxmlformats.org/spreadsheetml/2006/main" count="198" uniqueCount="149">
  <si>
    <t>Blending Component</t>
  </si>
  <si>
    <t>Ethanol</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</si>
  <si>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</si>
  <si>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</si>
  <si>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</si>
  <si>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</si>
  <si>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</si>
  <si>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</si>
  <si>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</si>
  <si>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</si>
  <si>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</si>
  <si>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</si>
  <si>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</si>
  <si>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</si>
  <si>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</si>
  <si>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</si>
  <si>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</si>
  <si>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</si>
  <si>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</si>
  <si>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</si>
  <si>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</si>
  <si>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</si>
  <si>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</si>
  <si>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</si>
  <si>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</si>
  <si>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</si>
  <si>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</si>
  <si>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</si>
  <si>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</si>
  <si>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Denatured</t>
  </si>
  <si>
    <t>Finished Fuel</t>
  </si>
  <si>
    <t>E0</t>
  </si>
  <si>
    <t>E5.7</t>
  </si>
  <si>
    <t>E10</t>
  </si>
  <si>
    <t>E15</t>
  </si>
  <si>
    <t>LHV</t>
  </si>
  <si>
    <t>CI x LHV fraction</t>
  </si>
  <si>
    <t>E85</t>
  </si>
  <si>
    <t>Vehicle N2O + CH4</t>
  </si>
  <si>
    <t>LUC</t>
  </si>
  <si>
    <t>Pure Component CI</t>
  </si>
  <si>
    <t xml:space="preserve">v × LHV </t>
  </si>
  <si>
    <t>Total CI</t>
  </si>
  <si>
    <t>not reported</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</si>
  <si>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</si>
  <si>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</si>
  <si>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</si>
  <si>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</si>
  <si>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</si>
  <si>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</si>
  <si>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</si>
  <si>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Distillate Fuel Oil</t>
  </si>
  <si>
    <t>Natural Gas</t>
  </si>
  <si>
    <t>Electricity</t>
  </si>
  <si>
    <t>Corn Oil as separate?</t>
  </si>
  <si>
    <t>Ethanol Yield</t>
  </si>
  <si>
    <t>Enzymes and yeast</t>
  </si>
  <si>
    <t>Unit</t>
  </si>
  <si>
    <t>DGS Yield</t>
  </si>
  <si>
    <t>Total Energy use</t>
  </si>
  <si>
    <t>Coal</t>
  </si>
  <si>
    <t>Btu/gal</t>
  </si>
  <si>
    <t>kWh/gal</t>
  </si>
  <si>
    <t>Bone-dry lb/gal EtOH</t>
  </si>
  <si>
    <t>gal/bu</t>
  </si>
  <si>
    <t xml:space="preserve">     Alpha Amylase</t>
  </si>
  <si>
    <t xml:space="preserve">     Gluco Amylase</t>
  </si>
  <si>
    <t xml:space="preserve">     Cellulase</t>
  </si>
  <si>
    <t xml:space="preserve">     Yeast</t>
  </si>
  <si>
    <t xml:space="preserve">     Sulfuric acid (H2SO4)</t>
  </si>
  <si>
    <t xml:space="preserve">     Ammonia (NH3)</t>
  </si>
  <si>
    <t>NaOH</t>
  </si>
  <si>
    <t>CaO</t>
  </si>
  <si>
    <t>Urea</t>
  </si>
  <si>
    <t>g/gal</t>
  </si>
  <si>
    <t>GREET Inputs</t>
  </si>
  <si>
    <t>1-US Ave</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</si>
  <si>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</si>
  <si>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</si>
  <si>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</si>
  <si>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</si>
  <si>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</si>
  <si>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</si>
  <si>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</si>
  <si>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</si>
  <si>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</si>
  <si>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</si>
  <si>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</si>
  <si>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</si>
  <si>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</si>
  <si>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</si>
  <si>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</si>
  <si>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</si>
  <si>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</si>
  <si>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</si>
  <si>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</si>
  <si>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</si>
  <si>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</si>
  <si>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</si>
  <si>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</si>
  <si>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</si>
  <si>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</si>
  <si>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</si>
  <si>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</si>
  <si>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</si>
  <si>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</si>
  <si>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</si>
  <si>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</si>
  <si>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</si>
  <si>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</si>
  <si>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</si>
  <si>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</si>
  <si>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</si>
  <si>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</si>
  <si>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</si>
  <si>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</si>
  <si>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Methanol</t>
  </si>
  <si>
    <t>Soy Oil Yield</t>
  </si>
  <si>
    <t>Biofuel Yield</t>
  </si>
  <si>
    <t xml:space="preserve">Glycerin Yield </t>
  </si>
  <si>
    <t>Btu/lb BD</t>
  </si>
  <si>
    <t>kWh/lb BD</t>
  </si>
  <si>
    <t>lb soy oil/ lb SB</t>
  </si>
  <si>
    <t>lb BD/ lb soy oil</t>
  </si>
  <si>
    <t>lb/ lb BD</t>
  </si>
  <si>
    <t>Ethanol Inputs</t>
  </si>
  <si>
    <t>Soy Biodiesel Inputs</t>
  </si>
  <si>
    <t>Soy Oil Yield (with 13% moisture content)</t>
  </si>
  <si>
    <t>lb soy oil/ bu SB</t>
  </si>
  <si>
    <t xml:space="preserve">     Sodium hydroxide</t>
  </si>
  <si>
    <t xml:space="preserve">     Sodium methoxide</t>
  </si>
  <si>
    <t xml:space="preserve">     Hydrochloric acid</t>
  </si>
  <si>
    <t xml:space="preserve">     Phosphoric acid</t>
  </si>
  <si>
    <t xml:space="preserve">     Citric acid</t>
  </si>
  <si>
    <t>Grid mix (feed &amp; fuel)</t>
  </si>
  <si>
    <t>Default T&amp;D from WA-GREET</t>
  </si>
  <si>
    <t>Input Parameter</t>
  </si>
  <si>
    <t>Pure</t>
  </si>
  <si>
    <t>Ethanol Blending (%vol)</t>
  </si>
  <si>
    <t>*For yearly blend level data, see "use_all_phy yearly blend level.xlsx" spreadsheet</t>
  </si>
  <si>
    <t>2.5% denaturant is consistent with fuel specifications and denaturant requirements.</t>
  </si>
  <si>
    <t>EIA reports "denatured ethanol" in gasoline for Washington State</t>
  </si>
  <si>
    <t>Denaturant</t>
  </si>
  <si>
    <t>Gasoline Blendstock</t>
  </si>
  <si>
    <t>Finished RFG/diesel weighted CI and Denaturant Blending</t>
  </si>
  <si>
    <t>Love Goyal</t>
  </si>
  <si>
    <t>Goyal@lifecycleassociates,com</t>
  </si>
  <si>
    <t>This Excel workbook calculates the CI of finished gasoline and diesel</t>
  </si>
  <si>
    <t>Washington Blended Fuel Carbon Intensity Fuel Calculator - For Substitute Fuel Pathway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</si>
</sst>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 numFmtId="179" formatCode="0.000%"/>
  </numFmts>
  <fonts count="53"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sz val="10"/>
      <color indexed="10"/>
      <name val="Arial"/>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4"/>
      <color theme="1"/>
      <name val="Calibri"/>
      <family val="2"/>
      <scheme val="minor"/>
    </font>
    <font>
      <sz val="14"/>
      <color theme="1"/>
      <name val="Calibri"/>
      <family val="2"/>
      <scheme val="minor"/>
    </font>
    <font>
      <b/>
      <sz val="12"/>
      <color theme="1"/>
      <name val="Arial Black"/>
      <family val="2"/>
    </font>
  </fonts>
  <fills count="36">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theme="1" tint="0.249977111117893"/>
        <bgColor indexed="64"/>
      </patternFill>
    </fill>
    <fill>
      <patternFill patternType="solid">
        <fgColor theme="5" tint="0.799981688894314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69">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cellStyleXfs>
  <cellXfs count="193">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15" fontId="2" fillId="27" borderId="0" xfId="0" applyNumberFormat="1" applyFont="1" applyFill="1" applyAlignment="1">
      <alignment horizontal="left"/>
    </xf>
    <xf numFmtId="0" fontId="2" fillId="0" borderId="0" xfId="0" applyFont="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47" fillId="27" borderId="0" xfId="104" applyFill="1" applyAlignment="1" applyProtection="1"/>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5" fillId="0" borderId="14" xfId="0" applyFont="1" applyBorder="1"/>
    <xf numFmtId="0" fontId="16" fillId="31" borderId="0" xfId="0" applyFont="1" applyFill="1"/>
    <xf numFmtId="0" fontId="16" fillId="32"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164" fontId="9" fillId="27" borderId="15" xfId="0" applyNumberFormat="1" applyFont="1" applyFill="1" applyBorder="1" applyAlignment="1">
      <alignment horizontal="center" vertical="center"/>
    </xf>
    <xf numFmtId="0" fontId="9" fillId="0" borderId="13" xfId="0" applyFont="1" applyBorder="1" applyAlignment="1">
      <alignment horizontal="center"/>
    </xf>
    <xf numFmtId="0" fontId="14" fillId="0" borderId="13" xfId="0" applyFont="1" applyBorder="1"/>
    <xf numFmtId="0" fontId="8" fillId="27" borderId="25" xfId="0" applyFont="1" applyFill="1" applyBorder="1" applyAlignment="1">
      <alignment horizontal="center" vertical="center" wrapText="1"/>
    </xf>
    <xf numFmtId="0" fontId="17" fillId="0" borderId="0" xfId="0" applyFont="1" applyBorder="1"/>
    <xf numFmtId="3" fontId="9" fillId="27" borderId="22" xfId="0" applyNumberFormat="1" applyFont="1" applyFill="1" applyBorder="1" applyAlignment="1">
      <alignment horizontal="center" vertical="center"/>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8"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8"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9"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0" fontId="5" fillId="27" borderId="13" xfId="0" applyFont="1" applyFill="1" applyBorder="1" applyAlignment="1">
      <alignment vertical="center"/>
    </xf>
    <xf numFmtId="0" fontId="5" fillId="27" borderId="13" xfId="168" applyFont="1" applyFill="1" applyBorder="1"/>
    <xf numFmtId="0" fontId="5" fillId="27" borderId="18" xfId="168" applyFont="1" applyFill="1" applyBorder="1" applyAlignment="1">
      <alignment horizontal="left"/>
    </xf>
    <xf numFmtId="0" fontId="16" fillId="0" borderId="0" xfId="168" applyFont="1"/>
    <xf numFmtId="3" fontId="24" fillId="0" borderId="13" xfId="0" applyNumberFormat="1" applyFont="1" applyBorder="1" applyAlignment="1" applyProtection="1">
      <alignment horizontal="right"/>
      <protection locked="0"/>
    </xf>
    <xf numFmtId="4" fontId="24" fillId="0" borderId="13" xfId="0" applyNumberFormat="1" applyFont="1" applyBorder="1" applyAlignment="1" applyProtection="1">
      <alignment horizontal="right"/>
      <protection locked="0"/>
    </xf>
    <xf numFmtId="170" fontId="24" fillId="0" borderId="13" xfId="81" applyNumberFormat="1" applyFont="1" applyFill="1" applyBorder="1" applyAlignment="1">
      <alignment horizontal="right"/>
    </xf>
    <xf numFmtId="4" fontId="24" fillId="0" borderId="18" xfId="0" applyNumberFormat="1" applyFont="1" applyBorder="1" applyAlignment="1" applyProtection="1">
      <alignment horizontal="right"/>
      <protection locked="0"/>
    </xf>
    <xf numFmtId="0" fontId="8" fillId="27" borderId="28" xfId="168" applyFont="1" applyFill="1" applyBorder="1"/>
    <xf numFmtId="0" fontId="8" fillId="27" borderId="29" xfId="168" applyFont="1" applyFill="1" applyBorder="1"/>
    <xf numFmtId="0" fontId="5" fillId="0" borderId="18" xfId="0" applyFont="1" applyBorder="1" applyAlignment="1">
      <alignment horizontal="left"/>
    </xf>
    <xf numFmtId="2" fontId="24" fillId="27" borderId="18" xfId="0" applyNumberFormat="1" applyFont="1" applyFill="1" applyBorder="1" applyAlignment="1">
      <alignment vertical="center"/>
    </xf>
    <xf numFmtId="0" fontId="5" fillId="0" borderId="18" xfId="0" applyFont="1" applyBorder="1" applyAlignment="1">
      <alignment horizontal="left" indent="2"/>
    </xf>
    <xf numFmtId="0" fontId="5" fillId="0" borderId="13" xfId="0" applyFont="1" applyBorder="1" applyAlignment="1">
      <alignment horizontal="left"/>
    </xf>
    <xf numFmtId="2" fontId="24" fillId="27" borderId="13" xfId="0" applyNumberFormat="1" applyFont="1" applyFill="1" applyBorder="1" applyAlignment="1">
      <alignment vertical="center"/>
    </xf>
    <xf numFmtId="0" fontId="5" fillId="0" borderId="13" xfId="0" applyFont="1" applyBorder="1" applyAlignment="1">
      <alignment horizontal="left" indent="2"/>
    </xf>
    <xf numFmtId="167" fontId="17" fillId="0" borderId="15" xfId="0" applyNumberFormat="1" applyFont="1" applyBorder="1" applyAlignment="1">
      <alignment horizontal="center"/>
    </xf>
    <xf numFmtId="4" fontId="24" fillId="0" borderId="13" xfId="81" applyNumberFormat="1" applyFont="1" applyFill="1" applyBorder="1" applyAlignment="1">
      <alignment horizontal="right"/>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9" fillId="27" borderId="13" xfId="0" applyNumberFormat="1" applyFont="1" applyFill="1" applyBorder="1" applyAlignment="1">
      <alignment horizontal="center" vertical="center"/>
    </xf>
    <xf numFmtId="2" fontId="8" fillId="0" borderId="17" xfId="0" applyNumberFormat="1" applyFont="1" applyBorder="1" applyAlignment="1">
      <alignment horizontal="center"/>
    </xf>
    <xf numFmtId="4" fontId="9" fillId="0" borderId="19" xfId="0" applyNumberFormat="1" applyFont="1" applyBorder="1" applyAlignment="1">
      <alignment horizontal="center"/>
    </xf>
    <xf numFmtId="4" fontId="17" fillId="27" borderId="14" xfId="0" applyNumberFormat="1" applyFont="1" applyFill="1" applyBorder="1" applyAlignment="1">
      <alignment horizontal="center" vertical="center"/>
    </xf>
    <xf numFmtId="4" fontId="17" fillId="27" borderId="25"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49" fillId="0" borderId="18" xfId="0" applyNumberFormat="1" applyFont="1" applyBorder="1" applyAlignment="1">
      <alignment horizontal="center"/>
    </xf>
    <xf numFmtId="4" fontId="14" fillId="0" borderId="25" xfId="0" applyNumberFormat="1" applyFont="1" applyBorder="1" applyAlignment="1">
      <alignment horizontal="center"/>
    </xf>
    <xf numFmtId="170" fontId="24" fillId="0" borderId="13" xfId="0" applyNumberFormat="1" applyFont="1" applyBorder="1" applyAlignment="1" applyProtection="1">
      <alignment horizontal="right"/>
      <protection locked="0"/>
    </xf>
    <xf numFmtId="0" fontId="5" fillId="27" borderId="14" xfId="168" applyFont="1" applyFill="1" applyBorder="1" applyAlignment="1">
      <alignment horizontal="left"/>
    </xf>
    <xf numFmtId="4" fontId="2" fillId="27" borderId="14" xfId="81" applyNumberFormat="1" applyFont="1" applyFill="1" applyBorder="1" applyAlignment="1">
      <alignment horizontal="right"/>
    </xf>
    <xf numFmtId="0" fontId="5" fillId="0" borderId="0" xfId="0" applyFont="1" applyFill="1" applyBorder="1" applyAlignment="1">
      <alignment horizontal="left"/>
    </xf>
    <xf numFmtId="0" fontId="50" fillId="0" borderId="0" xfId="0" applyFont="1"/>
    <xf numFmtId="0" fontId="51" fillId="0" borderId="0" xfId="0" applyFont="1"/>
    <xf numFmtId="0" fontId="16" fillId="32" borderId="0" xfId="0" applyFont="1" applyFill="1" applyAlignment="1">
      <alignment horizontal="center"/>
    </xf>
    <xf numFmtId="0" fontId="8" fillId="0" borderId="14" xfId="0" applyFont="1" applyBorder="1" applyAlignment="1">
      <alignment wrapText="1"/>
    </xf>
    <xf numFmtId="4" fontId="8" fillId="0" borderId="27" xfId="0" applyNumberFormat="1" applyFont="1" applyBorder="1" applyAlignment="1">
      <alignment horizontal="center"/>
    </xf>
    <xf numFmtId="4" fontId="17" fillId="0" borderId="21" xfId="0" applyNumberFormat="1" applyFont="1" applyBorder="1" applyAlignment="1">
      <alignment horizontal="center"/>
    </xf>
    <xf numFmtId="10" fontId="5" fillId="0" borderId="18" xfId="0" applyNumberFormat="1" applyFont="1" applyBorder="1" applyAlignment="1">
      <alignment horizontal="center"/>
    </xf>
    <xf numFmtId="3" fontId="2" fillId="27" borderId="16" xfId="0" applyNumberFormat="1" applyFont="1" applyFill="1" applyBorder="1" applyAlignment="1">
      <alignment horizontal="center" vertical="center"/>
    </xf>
    <xf numFmtId="4" fontId="2" fillId="27" borderId="16" xfId="0" applyNumberFormat="1" applyFont="1" applyFill="1" applyBorder="1" applyAlignment="1">
      <alignment horizontal="center" vertical="center"/>
    </xf>
    <xf numFmtId="10" fontId="16" fillId="0" borderId="0" xfId="0" applyNumberFormat="1" applyFont="1"/>
    <xf numFmtId="4" fontId="16" fillId="0" borderId="0" xfId="0" applyNumberFormat="1" applyFont="1"/>
    <xf numFmtId="2"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9" fillId="0" borderId="27" xfId="0" applyNumberFormat="1" applyFont="1" applyBorder="1" applyAlignment="1">
      <alignment horizontal="center"/>
    </xf>
    <xf numFmtId="4" fontId="49" fillId="27" borderId="15" xfId="0" applyNumberFormat="1" applyFont="1" applyFill="1" applyBorder="1" applyAlignment="1">
      <alignment horizontal="center" vertical="center"/>
    </xf>
    <xf numFmtId="4" fontId="2" fillId="0" borderId="19" xfId="0" applyNumberFormat="1" applyFont="1" applyBorder="1" applyAlignment="1">
      <alignment horizontal="center"/>
    </xf>
    <xf numFmtId="4" fontId="2" fillId="0" borderId="18" xfId="0" applyNumberFormat="1" applyFont="1" applyBorder="1" applyAlignment="1">
      <alignment horizontal="center"/>
    </xf>
    <xf numFmtId="0" fontId="2" fillId="33" borderId="0" xfId="0" applyFont="1" applyFill="1"/>
    <xf numFmtId="3" fontId="5" fillId="0" borderId="0" xfId="0" applyNumberFormat="1" applyFont="1"/>
    <xf numFmtId="179" fontId="16" fillId="0" borderId="0" xfId="0" applyNumberFormat="1" applyFont="1"/>
    <xf numFmtId="167" fontId="17" fillId="34" borderId="15" xfId="0" applyNumberFormat="1" applyFont="1" applyFill="1" applyBorder="1" applyAlignment="1">
      <alignment horizontal="center"/>
    </xf>
    <xf numFmtId="167" fontId="9" fillId="34" borderId="15" xfId="0" applyNumberFormat="1" applyFont="1" applyFill="1" applyBorder="1" applyAlignment="1">
      <alignment horizontal="center"/>
    </xf>
    <xf numFmtId="3" fontId="9" fillId="34" borderId="13" xfId="0" applyNumberFormat="1" applyFont="1" applyFill="1" applyBorder="1" applyAlignment="1">
      <alignment horizontal="center" vertical="center"/>
    </xf>
    <xf numFmtId="3" fontId="17" fillId="34" borderId="13" xfId="0" applyNumberFormat="1" applyFont="1" applyFill="1" applyBorder="1" applyAlignment="1">
      <alignment horizontal="center" vertical="center"/>
    </xf>
    <xf numFmtId="10" fontId="5" fillId="34" borderId="18" xfId="0" applyNumberFormat="1" applyFont="1" applyFill="1" applyBorder="1" applyAlignment="1">
      <alignment horizontal="center"/>
    </xf>
    <xf numFmtId="4" fontId="17" fillId="34" borderId="14" xfId="0" applyNumberFormat="1" applyFont="1" applyFill="1" applyBorder="1" applyAlignment="1">
      <alignment horizontal="center" vertical="center"/>
    </xf>
    <xf numFmtId="4" fontId="9" fillId="34" borderId="15" xfId="0" applyNumberFormat="1" applyFont="1" applyFill="1" applyBorder="1" applyAlignment="1">
      <alignment horizontal="center" vertical="center"/>
    </xf>
    <xf numFmtId="4" fontId="9" fillId="34" borderId="20" xfId="0" applyNumberFormat="1" applyFont="1" applyFill="1" applyBorder="1" applyAlignment="1">
      <alignment horizontal="center" vertical="center"/>
    </xf>
    <xf numFmtId="4" fontId="9" fillId="34" borderId="13" xfId="0" applyNumberFormat="1" applyFont="1" applyFill="1" applyBorder="1" applyAlignment="1">
      <alignment horizontal="center"/>
    </xf>
    <xf numFmtId="0" fontId="14" fillId="34" borderId="0" xfId="0" applyFont="1" applyFill="1" applyBorder="1"/>
    <xf numFmtId="0" fontId="43" fillId="34" borderId="18" xfId="0" applyFont="1" applyFill="1" applyBorder="1"/>
    <xf numFmtId="0" fontId="14" fillId="34" borderId="21" xfId="0" applyFont="1" applyFill="1" applyBorder="1"/>
    <xf numFmtId="2" fontId="14" fillId="34" borderId="26" xfId="0" applyNumberFormat="1" applyFont="1" applyFill="1" applyBorder="1" applyAlignment="1">
      <alignment horizontal="center"/>
    </xf>
    <xf numFmtId="0" fontId="14" fillId="34" borderId="26" xfId="0" applyFont="1" applyFill="1" applyBorder="1"/>
    <xf numFmtId="0" fontId="8" fillId="34" borderId="14" xfId="0" applyFont="1" applyFill="1" applyBorder="1" applyAlignment="1">
      <alignment horizontal="center"/>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52" fillId="35" borderId="0" xfId="0" applyFont="1" applyFill="1" applyAlignment="1">
      <alignment horizontal="center"/>
    </xf>
  </cellXfs>
  <cellStyles count="169">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20% - Énfasis1" xfId="13" xr:uid="{00000000-0005-0000-0000-00000C000000}"/>
    <cellStyle name="20% - Énfasis2" xfId="14" xr:uid="{00000000-0005-0000-0000-00000D000000}"/>
    <cellStyle name="20% - Énfasis3" xfId="15" xr:uid="{00000000-0005-0000-0000-00000E000000}"/>
    <cellStyle name="20% - Énfasis4" xfId="16" xr:uid="{00000000-0005-0000-0000-00000F000000}"/>
    <cellStyle name="20% - Énfasis5" xfId="17" xr:uid="{00000000-0005-0000-0000-000010000000}"/>
    <cellStyle name="20% - Énfasis6" xfId="18" xr:uid="{00000000-0005-0000-0000-000011000000}"/>
    <cellStyle name="40% - Accent1 2" xfId="19" xr:uid="{00000000-0005-0000-0000-000012000000}"/>
    <cellStyle name="40% - Accent1 3" xfId="20" xr:uid="{00000000-0005-0000-0000-000013000000}"/>
    <cellStyle name="40% - Accent2 2" xfId="21" xr:uid="{00000000-0005-0000-0000-000014000000}"/>
    <cellStyle name="40% - Accent2 3" xfId="22" xr:uid="{00000000-0005-0000-0000-000015000000}"/>
    <cellStyle name="40% - Accent3 2" xfId="23" xr:uid="{00000000-0005-0000-0000-000016000000}"/>
    <cellStyle name="40% - Accent3 3" xfId="24" xr:uid="{00000000-0005-0000-0000-000017000000}"/>
    <cellStyle name="40% - Accent4 2" xfId="25" xr:uid="{00000000-0005-0000-0000-000018000000}"/>
    <cellStyle name="40% - Accent4 3" xfId="26" xr:uid="{00000000-0005-0000-0000-000019000000}"/>
    <cellStyle name="40% - Accent5 2" xfId="27" xr:uid="{00000000-0005-0000-0000-00001A000000}"/>
    <cellStyle name="40% - Accent5 3" xfId="28" xr:uid="{00000000-0005-0000-0000-00001B000000}"/>
    <cellStyle name="40% - Accent6 2" xfId="29" xr:uid="{00000000-0005-0000-0000-00001C000000}"/>
    <cellStyle name="40% - Accent6 3" xfId="30" xr:uid="{00000000-0005-0000-0000-00001D000000}"/>
    <cellStyle name="40% - Énfasis1" xfId="31" xr:uid="{00000000-0005-0000-0000-00001E000000}"/>
    <cellStyle name="40% - Énfasis2" xfId="32" xr:uid="{00000000-0005-0000-0000-00001F000000}"/>
    <cellStyle name="40% - Énfasis3" xfId="33" xr:uid="{00000000-0005-0000-0000-000020000000}"/>
    <cellStyle name="40% - Énfasis4" xfId="34" xr:uid="{00000000-0005-0000-0000-000021000000}"/>
    <cellStyle name="40% - Énfasis5" xfId="35" xr:uid="{00000000-0005-0000-0000-000022000000}"/>
    <cellStyle name="40% - Énfasis6" xfId="36" xr:uid="{00000000-0005-0000-0000-000023000000}"/>
    <cellStyle name="60% - Accent1 2" xfId="37" xr:uid="{00000000-0005-0000-0000-000024000000}"/>
    <cellStyle name="60% - Accent1 3" xfId="38" xr:uid="{00000000-0005-0000-0000-000025000000}"/>
    <cellStyle name="60% - Accent2 2" xfId="39" xr:uid="{00000000-0005-0000-0000-000026000000}"/>
    <cellStyle name="60% - Accent2 3" xfId="40" xr:uid="{00000000-0005-0000-0000-000027000000}"/>
    <cellStyle name="60% - Accent3 2" xfId="41" xr:uid="{00000000-0005-0000-0000-000028000000}"/>
    <cellStyle name="60% - Accent3 3" xfId="42" xr:uid="{00000000-0005-0000-0000-000029000000}"/>
    <cellStyle name="60% - Accent4 2" xfId="43" xr:uid="{00000000-0005-0000-0000-00002A000000}"/>
    <cellStyle name="60% - Accent4 3" xfId="44" xr:uid="{00000000-0005-0000-0000-00002B000000}"/>
    <cellStyle name="60% - Accent5 2" xfId="45" xr:uid="{00000000-0005-0000-0000-00002C000000}"/>
    <cellStyle name="60% - Accent5 3" xfId="46" xr:uid="{00000000-0005-0000-0000-00002D000000}"/>
    <cellStyle name="60% - Accent6 2" xfId="47" xr:uid="{00000000-0005-0000-0000-00002E000000}"/>
    <cellStyle name="60% - Accent6 3" xfId="48" xr:uid="{00000000-0005-0000-0000-00002F000000}"/>
    <cellStyle name="60% - Énfasis1" xfId="49" xr:uid="{00000000-0005-0000-0000-000030000000}"/>
    <cellStyle name="60% - Énfasis2" xfId="50" xr:uid="{00000000-0005-0000-0000-000031000000}"/>
    <cellStyle name="60% - Énfasis3" xfId="51" xr:uid="{00000000-0005-0000-0000-000032000000}"/>
    <cellStyle name="60% - Énfasis4" xfId="52" xr:uid="{00000000-0005-0000-0000-000033000000}"/>
    <cellStyle name="60% - Énfasis5" xfId="53" xr:uid="{00000000-0005-0000-0000-000034000000}"/>
    <cellStyle name="60% - Énfasis6" xfId="54" xr:uid="{00000000-0005-0000-0000-000035000000}"/>
    <cellStyle name="Accent1 2" xfId="55" xr:uid="{00000000-0005-0000-0000-000036000000}"/>
    <cellStyle name="Accent1 3" xfId="56" xr:uid="{00000000-0005-0000-0000-000037000000}"/>
    <cellStyle name="Accent2 2" xfId="57" xr:uid="{00000000-0005-0000-0000-000038000000}"/>
    <cellStyle name="Accent2 3" xfId="58" xr:uid="{00000000-0005-0000-0000-000039000000}"/>
    <cellStyle name="Accent3 2" xfId="59" xr:uid="{00000000-0005-0000-0000-00003A000000}"/>
    <cellStyle name="Accent3 3" xfId="60" xr:uid="{00000000-0005-0000-0000-00003B000000}"/>
    <cellStyle name="Accent4 2" xfId="61" xr:uid="{00000000-0005-0000-0000-00003C000000}"/>
    <cellStyle name="Accent4 3" xfId="62" xr:uid="{00000000-0005-0000-0000-00003D000000}"/>
    <cellStyle name="Accent5 2" xfId="63" xr:uid="{00000000-0005-0000-0000-00003E000000}"/>
    <cellStyle name="Accent5 3" xfId="64" xr:uid="{00000000-0005-0000-0000-00003F000000}"/>
    <cellStyle name="Accent6 2" xfId="65" xr:uid="{00000000-0005-0000-0000-000040000000}"/>
    <cellStyle name="Accent6 3" xfId="66" xr:uid="{00000000-0005-0000-0000-000041000000}"/>
    <cellStyle name="Bad 2" xfId="67" xr:uid="{00000000-0005-0000-0000-000042000000}"/>
    <cellStyle name="Bad 3" xfId="68" xr:uid="{00000000-0005-0000-0000-000043000000}"/>
    <cellStyle name="Buena" xfId="69" xr:uid="{00000000-0005-0000-0000-000044000000}"/>
    <cellStyle name="Calculation 2" xfId="70" xr:uid="{00000000-0005-0000-0000-000045000000}"/>
    <cellStyle name="Calculation 3" xfId="71" xr:uid="{00000000-0005-0000-0000-000046000000}"/>
    <cellStyle name="Cálculo" xfId="72" xr:uid="{00000000-0005-0000-0000-000047000000}"/>
    <cellStyle name="Celda de comprobación" xfId="73" xr:uid="{00000000-0005-0000-0000-000048000000}"/>
    <cellStyle name="Celda vinculada" xfId="74" xr:uid="{00000000-0005-0000-0000-000049000000}"/>
    <cellStyle name="Check Cell 2" xfId="75" xr:uid="{00000000-0005-0000-0000-00004A000000}"/>
    <cellStyle name="Check Cell 3" xfId="76" xr:uid="{00000000-0005-0000-0000-00004B000000}"/>
    <cellStyle name="Comma 2" xfId="77" xr:uid="{00000000-0005-0000-0000-00004C000000}"/>
    <cellStyle name="Comma 2 2" xfId="78" xr:uid="{00000000-0005-0000-0000-00004D000000}"/>
    <cellStyle name="Comma 2 3" xfId="79" xr:uid="{00000000-0005-0000-0000-00004E000000}"/>
    <cellStyle name="Comma 3" xfId="80" xr:uid="{00000000-0005-0000-0000-00004F000000}"/>
    <cellStyle name="Comma 7" xfId="81" xr:uid="{00000000-0005-0000-0000-000050000000}"/>
    <cellStyle name="Currency 2" xfId="82" xr:uid="{00000000-0005-0000-0000-000051000000}"/>
    <cellStyle name="Encabezado 4" xfId="83" xr:uid="{00000000-0005-0000-0000-000052000000}"/>
    <cellStyle name="Énfasis1" xfId="84" xr:uid="{00000000-0005-0000-0000-000053000000}"/>
    <cellStyle name="Énfasis2" xfId="85" xr:uid="{00000000-0005-0000-0000-000054000000}"/>
    <cellStyle name="Énfasis3" xfId="86" xr:uid="{00000000-0005-0000-0000-000055000000}"/>
    <cellStyle name="Énfasis4" xfId="87" xr:uid="{00000000-0005-0000-0000-000056000000}"/>
    <cellStyle name="Énfasis5" xfId="88" xr:uid="{00000000-0005-0000-0000-000057000000}"/>
    <cellStyle name="Énfasis6" xfId="89" xr:uid="{00000000-0005-0000-0000-000058000000}"/>
    <cellStyle name="Entrada" xfId="90" xr:uid="{00000000-0005-0000-0000-000059000000}"/>
    <cellStyle name="Euro" xfId="91" xr:uid="{00000000-0005-0000-0000-00005A000000}"/>
    <cellStyle name="Explanatory Text 2" xfId="92" xr:uid="{00000000-0005-0000-0000-00005B000000}"/>
    <cellStyle name="Explanatory Text 3" xfId="93" xr:uid="{00000000-0005-0000-0000-00005C000000}"/>
    <cellStyle name="Good 2" xfId="94" xr:uid="{00000000-0005-0000-0000-00005D000000}"/>
    <cellStyle name="Good 3" xfId="95" xr:uid="{00000000-0005-0000-0000-00005E000000}"/>
    <cellStyle name="Heading 1 2" xfId="96" xr:uid="{00000000-0005-0000-0000-00005F000000}"/>
    <cellStyle name="Heading 1 3" xfId="97" xr:uid="{00000000-0005-0000-0000-000060000000}"/>
    <cellStyle name="Heading 2 2" xfId="98" xr:uid="{00000000-0005-0000-0000-000061000000}"/>
    <cellStyle name="Heading 2 3" xfId="99" xr:uid="{00000000-0005-0000-0000-000062000000}"/>
    <cellStyle name="Heading 3 2" xfId="100" xr:uid="{00000000-0005-0000-0000-000063000000}"/>
    <cellStyle name="Heading 3 3" xfId="101" xr:uid="{00000000-0005-0000-0000-000064000000}"/>
    <cellStyle name="Heading 4 2" xfId="102" xr:uid="{00000000-0005-0000-0000-000065000000}"/>
    <cellStyle name="Heading 4 3" xfId="103" xr:uid="{00000000-0005-0000-0000-000066000000}"/>
    <cellStyle name="Hyperlink" xfId="104" builtinId="8"/>
    <cellStyle name="Hyperlink 10" xfId="105" xr:uid="{00000000-0005-0000-0000-000068000000}"/>
    <cellStyle name="Hyperlink 11" xfId="106" xr:uid="{00000000-0005-0000-0000-000069000000}"/>
    <cellStyle name="Hyperlink 2" xfId="107" xr:uid="{00000000-0005-0000-0000-00006A000000}"/>
    <cellStyle name="Hyperlink 3" xfId="108" xr:uid="{00000000-0005-0000-0000-00006B000000}"/>
    <cellStyle name="Hyperlink 4" xfId="109" xr:uid="{00000000-0005-0000-0000-00006C000000}"/>
    <cellStyle name="Hyperlink 5" xfId="110" xr:uid="{00000000-0005-0000-0000-00006D000000}"/>
    <cellStyle name="Hyperlink 6" xfId="111" xr:uid="{00000000-0005-0000-0000-00006E000000}"/>
    <cellStyle name="Hyperlink 7" xfId="112" xr:uid="{00000000-0005-0000-0000-00006F000000}"/>
    <cellStyle name="Hyperlink 8" xfId="113" xr:uid="{00000000-0005-0000-0000-000070000000}"/>
    <cellStyle name="Hyperlink 9" xfId="114" xr:uid="{00000000-0005-0000-0000-000071000000}"/>
    <cellStyle name="Incorrecto" xfId="115" xr:uid="{00000000-0005-0000-0000-000072000000}"/>
    <cellStyle name="Input 2" xfId="116" xr:uid="{00000000-0005-0000-0000-000073000000}"/>
    <cellStyle name="Input 3" xfId="117" xr:uid="{00000000-0005-0000-0000-000074000000}"/>
    <cellStyle name="Linked Cell 2" xfId="118" xr:uid="{00000000-0005-0000-0000-000075000000}"/>
    <cellStyle name="Linked Cell 3" xfId="119" xr:uid="{00000000-0005-0000-0000-000076000000}"/>
    <cellStyle name="Neutral 2" xfId="120" xr:uid="{00000000-0005-0000-0000-000077000000}"/>
    <cellStyle name="Neutral 3" xfId="121" xr:uid="{00000000-0005-0000-0000-000078000000}"/>
    <cellStyle name="Normal" xfId="0" builtinId="0"/>
    <cellStyle name="Normal 10" xfId="122" xr:uid="{00000000-0005-0000-0000-00007A000000}"/>
    <cellStyle name="Normal 19" xfId="123" xr:uid="{00000000-0005-0000-0000-00007B000000}"/>
    <cellStyle name="Normal 2" xfId="124" xr:uid="{00000000-0005-0000-0000-00007C000000}"/>
    <cellStyle name="Normal 2 10" xfId="125" xr:uid="{00000000-0005-0000-0000-00007D000000}"/>
    <cellStyle name="Normal 2 11" xfId="126" xr:uid="{00000000-0005-0000-0000-00007E000000}"/>
    <cellStyle name="Normal 2 12" xfId="127" xr:uid="{00000000-0005-0000-0000-00007F000000}"/>
    <cellStyle name="Normal 2 13" xfId="128" xr:uid="{00000000-0005-0000-0000-000080000000}"/>
    <cellStyle name="Normal 2 2" xfId="129" xr:uid="{00000000-0005-0000-0000-000081000000}"/>
    <cellStyle name="Normal 2 3" xfId="130" xr:uid="{00000000-0005-0000-0000-000082000000}"/>
    <cellStyle name="Normal 2 4" xfId="131" xr:uid="{00000000-0005-0000-0000-000083000000}"/>
    <cellStyle name="Normal 2 5" xfId="132" xr:uid="{00000000-0005-0000-0000-000084000000}"/>
    <cellStyle name="Normal 2 6" xfId="133" xr:uid="{00000000-0005-0000-0000-000085000000}"/>
    <cellStyle name="Normal 2 7" xfId="134" xr:uid="{00000000-0005-0000-0000-000086000000}"/>
    <cellStyle name="Normal 2 8" xfId="135" xr:uid="{00000000-0005-0000-0000-000087000000}"/>
    <cellStyle name="Normal 2 9" xfId="136" xr:uid="{00000000-0005-0000-0000-000088000000}"/>
    <cellStyle name="Normal 2_LCA_-_Land Fill LCI_v3" xfId="137" xr:uid="{00000000-0005-0000-0000-000089000000}"/>
    <cellStyle name="Normal 3" xfId="138" xr:uid="{00000000-0005-0000-0000-00008A000000}"/>
    <cellStyle name="Normal 4" xfId="139" xr:uid="{00000000-0005-0000-0000-00008B000000}"/>
    <cellStyle name="Normal 7" xfId="140" xr:uid="{00000000-0005-0000-0000-00008C000000}"/>
    <cellStyle name="Normal 9" xfId="141" xr:uid="{00000000-0005-0000-0000-00008D000000}"/>
    <cellStyle name="Normal 9 2" xfId="142" xr:uid="{00000000-0005-0000-0000-00008E000000}"/>
    <cellStyle name="Normal 9_Cellulosic Ethanol Disaggregation_data repository_v10" xfId="143" xr:uid="{00000000-0005-0000-0000-00008F000000}"/>
    <cellStyle name="Normal_Corn Ethanol GREET1_2011 Potato Chip_Corn Ethanol Disaggregation v22" xfId="168" xr:uid="{00000000-0005-0000-0000-000090000000}"/>
    <cellStyle name="Notas" xfId="144" xr:uid="{00000000-0005-0000-0000-000091000000}"/>
    <cellStyle name="Note 2" xfId="145" xr:uid="{00000000-0005-0000-0000-000092000000}"/>
    <cellStyle name="Note 3" xfId="146" xr:uid="{00000000-0005-0000-0000-000093000000}"/>
    <cellStyle name="Output 2" xfId="147" xr:uid="{00000000-0005-0000-0000-000094000000}"/>
    <cellStyle name="Output 3" xfId="148" xr:uid="{00000000-0005-0000-0000-000095000000}"/>
    <cellStyle name="Percent 2" xfId="149" xr:uid="{00000000-0005-0000-0000-000096000000}"/>
    <cellStyle name="Percent 2 2" xfId="150" xr:uid="{00000000-0005-0000-0000-000097000000}"/>
    <cellStyle name="Percent 3" xfId="151" xr:uid="{00000000-0005-0000-0000-000098000000}"/>
    <cellStyle name="Percent 4" xfId="152" xr:uid="{00000000-0005-0000-0000-000099000000}"/>
    <cellStyle name="Plain" xfId="153" xr:uid="{00000000-0005-0000-0000-00009A000000}"/>
    <cellStyle name="Salida" xfId="154" xr:uid="{00000000-0005-0000-0000-00009B000000}"/>
    <cellStyle name="Scientific" xfId="155" xr:uid="{00000000-0005-0000-0000-00009C000000}"/>
    <cellStyle name="Texto de advertencia" xfId="156" xr:uid="{00000000-0005-0000-0000-00009D000000}"/>
    <cellStyle name="Texto explicativo" xfId="157" xr:uid="{00000000-0005-0000-0000-00009E000000}"/>
    <cellStyle name="Title 2" xfId="158" xr:uid="{00000000-0005-0000-0000-00009F000000}"/>
    <cellStyle name="Title 3" xfId="159" xr:uid="{00000000-0005-0000-0000-0000A0000000}"/>
    <cellStyle name="Título" xfId="160" xr:uid="{00000000-0005-0000-0000-0000A1000000}"/>
    <cellStyle name="Título 1" xfId="161" xr:uid="{00000000-0005-0000-0000-0000A2000000}"/>
    <cellStyle name="Título 2" xfId="162" xr:uid="{00000000-0005-0000-0000-0000A3000000}"/>
    <cellStyle name="Título 3" xfId="163" xr:uid="{00000000-0005-0000-0000-0000A4000000}"/>
    <cellStyle name="Total 2" xfId="164" xr:uid="{00000000-0005-0000-0000-0000A5000000}"/>
    <cellStyle name="Total 3" xfId="165" xr:uid="{00000000-0005-0000-0000-0000A6000000}"/>
    <cellStyle name="Warning Text 2" xfId="166" xr:uid="{00000000-0005-0000-0000-0000A7000000}"/>
    <cellStyle name="Warning Text 3" xfId="167" xr:uid="{00000000-0005-0000-0000-0000A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title="Life Cycle Associates logo">
          <a:extLst>
            <a:ext uri="{FF2B5EF4-FFF2-40B4-BE49-F238E27FC236}">
              <a16:creationId xmlns:a16="http://schemas.microsoft.com/office/drawing/2014/main" id="{10EC88CE-0482-4A8E-AB92-61EC40335878}"/>
            </a:ext>
          </a:extLst>
        </xdr:cNvPr>
        <xdr:cNvGrpSpPr>
          <a:grpSpLocks/>
        </xdr:cNvGrpSpPr>
      </xdr:nvGrpSpPr>
      <xdr:grpSpPr bwMode="auto">
        <a:xfrm>
          <a:off x="129540" y="198120"/>
          <a:ext cx="2844165" cy="691515"/>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title="Life Cycle Associates 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oyal@lifecycleassociates,com" TargetMode="External"/><Relationship Id="rId1" Type="http://schemas.openxmlformats.org/officeDocument/2006/relationships/hyperlink" Target="mailto:Unnasch@lifecycleassocia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9"/>
  </sheetPr>
  <dimension ref="A1:Q37"/>
  <sheetViews>
    <sheetView tabSelected="1" topLeftCell="A19" workbookViewId="0">
      <selection activeCell="B31" sqref="B31"/>
    </sheetView>
  </sheetViews>
  <sheetFormatPr defaultColWidth="9.140625" defaultRowHeight="15" x14ac:dyDescent="0.25"/>
  <cols>
    <col min="1" max="1" width="5" style="1" customWidth="1"/>
    <col min="2" max="2" width="34.5703125" style="1" customWidth="1"/>
    <col min="3" max="5" width="9.140625" style="1"/>
    <col min="6" max="6" width="51" style="1" customWidth="1"/>
    <col min="7" max="7" width="17.85546875" style="1" customWidth="1"/>
    <col min="8" max="10" width="9.140625" style="1"/>
    <col min="11" max="11" width="17.42578125" style="1" customWidth="1"/>
    <col min="12" max="12" width="7.85546875" style="1" customWidth="1"/>
    <col min="13" max="13" width="18.85546875" style="1" customWidth="1"/>
    <col min="14" max="16384" width="9.140625" style="1"/>
  </cols>
  <sheetData>
    <row r="1" spans="1:17" ht="32.25" customHeight="1" x14ac:dyDescent="0.35">
      <c r="A1" s="10"/>
      <c r="B1" s="11" t="s">
        <v>5</v>
      </c>
      <c r="H1" s="12"/>
      <c r="I1" s="12">
        <v>6015</v>
      </c>
      <c r="J1" s="12" t="s">
        <v>6</v>
      </c>
      <c r="K1" s="12"/>
    </row>
    <row r="2" spans="1:17" ht="15" customHeight="1" x14ac:dyDescent="0.35">
      <c r="A2" s="13"/>
    </row>
    <row r="3" spans="1:17" ht="15" customHeight="1" x14ac:dyDescent="0.35">
      <c r="A3" s="13"/>
    </row>
    <row r="4" spans="1:17" ht="18" customHeight="1" x14ac:dyDescent="0.35">
      <c r="A4" s="13"/>
      <c r="B4" s="14" t="s">
        <v>144</v>
      </c>
      <c r="C4" s="15"/>
      <c r="D4" s="15"/>
      <c r="E4" s="15"/>
      <c r="F4" s="15"/>
      <c r="G4" s="15"/>
      <c r="H4" s="15"/>
      <c r="I4" s="15"/>
      <c r="J4" s="15"/>
      <c r="L4" s="15"/>
    </row>
    <row r="5" spans="1:17" ht="15" customHeight="1" x14ac:dyDescent="0.35">
      <c r="A5" s="13"/>
      <c r="B5" s="16">
        <f ca="1">TODAY()</f>
        <v>44892</v>
      </c>
      <c r="C5" s="17"/>
      <c r="D5" s="15"/>
      <c r="E5" s="15"/>
      <c r="F5" s="15"/>
      <c r="G5" s="15"/>
      <c r="H5" s="15"/>
      <c r="I5" s="15"/>
      <c r="J5" s="15"/>
      <c r="L5" s="15"/>
    </row>
    <row r="6" spans="1:17" ht="15" customHeight="1" x14ac:dyDescent="0.35">
      <c r="A6" s="13"/>
      <c r="B6" s="15"/>
      <c r="C6" s="15"/>
      <c r="D6" s="15"/>
      <c r="E6" s="15"/>
      <c r="F6" s="15"/>
      <c r="G6" s="18" t="s">
        <v>7</v>
      </c>
      <c r="H6" s="15"/>
      <c r="I6" s="15"/>
      <c r="J6" s="15"/>
      <c r="L6" s="15"/>
    </row>
    <row r="7" spans="1:17" ht="15" customHeight="1" x14ac:dyDescent="0.35">
      <c r="A7" s="13"/>
      <c r="B7" s="19" t="s">
        <v>8</v>
      </c>
      <c r="C7" s="15"/>
      <c r="D7" s="15"/>
      <c r="E7" s="15"/>
      <c r="F7" s="15"/>
      <c r="G7" s="169" t="s">
        <v>9</v>
      </c>
      <c r="H7" s="15"/>
      <c r="I7" s="15"/>
      <c r="J7" s="15"/>
      <c r="L7" s="15"/>
    </row>
    <row r="8" spans="1:17" ht="15" customHeight="1" x14ac:dyDescent="0.35">
      <c r="A8" s="13"/>
      <c r="B8" s="15" t="s">
        <v>10</v>
      </c>
      <c r="C8" s="20" t="s">
        <v>11</v>
      </c>
      <c r="D8" s="15"/>
      <c r="E8" s="15"/>
      <c r="F8" s="21"/>
      <c r="G8" s="22" t="s">
        <v>12</v>
      </c>
      <c r="H8" s="15"/>
      <c r="I8" s="15"/>
      <c r="J8" s="15"/>
      <c r="L8" s="15"/>
    </row>
    <row r="9" spans="1:17" ht="15" customHeight="1" x14ac:dyDescent="0.35">
      <c r="A9" s="13"/>
      <c r="B9" s="15" t="s">
        <v>145</v>
      </c>
      <c r="C9" s="20" t="s">
        <v>146</v>
      </c>
      <c r="D9" s="15"/>
      <c r="E9" s="15"/>
      <c r="F9" s="21"/>
      <c r="G9" s="23" t="s">
        <v>13</v>
      </c>
      <c r="H9" s="15"/>
      <c r="I9" s="15"/>
      <c r="J9" s="15"/>
      <c r="L9" s="15"/>
    </row>
    <row r="10" spans="1:17" ht="15" customHeight="1" x14ac:dyDescent="0.35">
      <c r="A10" s="13"/>
      <c r="B10" s="15"/>
      <c r="C10" s="20"/>
      <c r="D10" s="15"/>
      <c r="E10" s="15"/>
      <c r="F10" s="21"/>
      <c r="G10" s="25" t="s">
        <v>15</v>
      </c>
      <c r="H10" s="15"/>
      <c r="I10" s="15"/>
      <c r="J10" s="15"/>
      <c r="L10" s="15"/>
    </row>
    <row r="11" spans="1:17" ht="15" customHeight="1" x14ac:dyDescent="0.35">
      <c r="A11" s="13"/>
      <c r="B11" s="24" t="s">
        <v>14</v>
      </c>
      <c r="C11" s="20"/>
      <c r="D11" s="15"/>
      <c r="E11" s="15"/>
      <c r="F11" s="21"/>
      <c r="H11" s="15"/>
      <c r="I11" s="15"/>
      <c r="J11" s="15"/>
      <c r="K11" s="15"/>
      <c r="L11" s="15"/>
    </row>
    <row r="12" spans="1:17" ht="15" customHeight="1" x14ac:dyDescent="0.35">
      <c r="A12" s="13"/>
      <c r="B12" s="15" t="s">
        <v>147</v>
      </c>
      <c r="C12" s="20"/>
      <c r="D12" s="15"/>
      <c r="E12" s="15"/>
      <c r="F12" s="21"/>
      <c r="G12" s="15"/>
      <c r="H12" s="15"/>
      <c r="I12" s="15"/>
      <c r="J12" s="15"/>
      <c r="K12" s="15"/>
      <c r="L12" s="15"/>
    </row>
    <row r="13" spans="1:17" ht="15" customHeight="1" x14ac:dyDescent="0.35">
      <c r="A13" s="13"/>
      <c r="B13" s="26"/>
      <c r="C13" s="27"/>
      <c r="D13" s="27"/>
      <c r="E13" s="27"/>
      <c r="F13" s="27"/>
      <c r="G13" s="27"/>
      <c r="H13" s="27"/>
      <c r="I13" s="27"/>
      <c r="J13" s="27"/>
      <c r="K13" s="27"/>
      <c r="L13" s="15"/>
    </row>
    <row r="14" spans="1:17" ht="15" customHeight="1" x14ac:dyDescent="0.35">
      <c r="A14" s="13"/>
      <c r="B14" s="26"/>
      <c r="C14" s="27"/>
      <c r="D14" s="27"/>
      <c r="E14" s="27"/>
      <c r="F14" s="27"/>
      <c r="G14" s="27"/>
      <c r="H14" s="27"/>
      <c r="I14" s="27"/>
      <c r="J14" s="27"/>
      <c r="K14" s="27"/>
      <c r="L14" s="15"/>
    </row>
    <row r="15" spans="1:17" ht="15.75" customHeight="1" x14ac:dyDescent="0.35">
      <c r="A15" s="13"/>
      <c r="B15" s="24" t="s">
        <v>16</v>
      </c>
      <c r="C15" s="27"/>
      <c r="D15" s="27"/>
      <c r="E15" s="27"/>
      <c r="F15" s="27"/>
      <c r="G15" s="27"/>
      <c r="H15" s="27"/>
      <c r="I15" s="27"/>
      <c r="J15" s="27"/>
      <c r="K15" s="27"/>
      <c r="L15" s="27"/>
      <c r="M15" s="27"/>
      <c r="N15" s="27"/>
      <c r="O15" s="27"/>
      <c r="P15" s="27"/>
      <c r="Q15" s="27"/>
    </row>
    <row r="16" spans="1:17" ht="15" customHeight="1" x14ac:dyDescent="0.35">
      <c r="A16" s="13"/>
      <c r="B16" s="191" t="s">
        <v>17</v>
      </c>
      <c r="C16" s="191"/>
      <c r="D16" s="191"/>
      <c r="E16" s="191"/>
      <c r="F16" s="191"/>
      <c r="G16" s="191"/>
      <c r="H16" s="191"/>
      <c r="I16" s="191"/>
      <c r="J16" s="191"/>
      <c r="K16" s="191"/>
      <c r="L16" s="191"/>
    </row>
    <row r="17" spans="1:12" ht="15" customHeight="1" x14ac:dyDescent="0.35">
      <c r="A17" s="13"/>
      <c r="B17" s="29" t="s">
        <v>18</v>
      </c>
      <c r="C17" s="28"/>
      <c r="D17" s="28"/>
      <c r="E17" s="28"/>
      <c r="F17" s="28"/>
      <c r="G17" s="28"/>
      <c r="H17" s="28"/>
      <c r="I17" s="28"/>
      <c r="J17" s="28"/>
      <c r="K17" s="28"/>
      <c r="L17" s="28"/>
    </row>
    <row r="18" spans="1:12" ht="15" customHeight="1" x14ac:dyDescent="0.35">
      <c r="A18" s="13"/>
      <c r="B18" s="189" t="s">
        <v>19</v>
      </c>
      <c r="C18" s="189"/>
      <c r="D18" s="189"/>
      <c r="E18" s="189"/>
      <c r="F18" s="189"/>
      <c r="G18" s="189"/>
      <c r="H18" s="189"/>
      <c r="I18" s="189"/>
      <c r="J18" s="189"/>
      <c r="K18" s="189"/>
      <c r="L18" s="189"/>
    </row>
    <row r="19" spans="1:12" ht="15" customHeight="1" x14ac:dyDescent="0.35">
      <c r="A19" s="13"/>
      <c r="B19" s="26"/>
      <c r="C19" s="27"/>
      <c r="D19" s="27"/>
      <c r="E19" s="27"/>
      <c r="F19" s="27"/>
      <c r="G19" s="27"/>
      <c r="H19" s="27"/>
      <c r="I19" s="27"/>
      <c r="J19" s="27"/>
      <c r="K19" s="27"/>
      <c r="L19" s="15"/>
    </row>
    <row r="20" spans="1:12" ht="15" customHeight="1" x14ac:dyDescent="0.25">
      <c r="A20" s="69"/>
      <c r="B20" s="70" t="s">
        <v>20</v>
      </c>
      <c r="C20" s="71"/>
      <c r="D20" s="71"/>
      <c r="E20" s="71"/>
      <c r="F20" s="71"/>
      <c r="G20" s="71"/>
      <c r="H20" s="71"/>
      <c r="I20" s="71"/>
      <c r="J20" s="71"/>
      <c r="K20" s="2"/>
      <c r="L20" s="2"/>
    </row>
    <row r="21" spans="1:12" ht="15" customHeight="1" x14ac:dyDescent="0.25">
      <c r="A21" s="69"/>
      <c r="B21" s="72" t="s">
        <v>21</v>
      </c>
      <c r="C21" s="71"/>
      <c r="D21" s="71"/>
      <c r="E21" s="71"/>
      <c r="F21" s="71"/>
      <c r="G21" s="71"/>
      <c r="H21" s="71"/>
      <c r="I21" s="71"/>
      <c r="J21" s="71"/>
      <c r="K21" s="2"/>
      <c r="L21" s="2"/>
    </row>
    <row r="22" spans="1:12" ht="15" customHeight="1" x14ac:dyDescent="0.25">
      <c r="A22" s="69"/>
      <c r="B22" s="70" t="s">
        <v>20</v>
      </c>
      <c r="C22" s="71"/>
      <c r="D22" s="71"/>
      <c r="E22" s="71"/>
      <c r="F22" s="71"/>
      <c r="G22" s="71"/>
      <c r="H22" s="71"/>
      <c r="I22" s="71"/>
      <c r="J22" s="71"/>
      <c r="K22" s="2"/>
      <c r="L22" s="2"/>
    </row>
    <row r="23" spans="1:12" ht="15" customHeight="1" x14ac:dyDescent="0.25">
      <c r="A23" s="69"/>
      <c r="B23" s="190" t="s">
        <v>47</v>
      </c>
      <c r="C23" s="188"/>
      <c r="D23" s="188"/>
      <c r="E23" s="188"/>
      <c r="F23" s="188"/>
      <c r="G23" s="188"/>
      <c r="H23" s="188"/>
      <c r="I23" s="188"/>
      <c r="J23" s="188"/>
      <c r="K23" s="2"/>
      <c r="L23" s="2"/>
    </row>
    <row r="24" spans="1:12" ht="15" customHeight="1" x14ac:dyDescent="0.25">
      <c r="A24" s="69"/>
      <c r="B24" s="73"/>
      <c r="C24" s="73"/>
      <c r="D24" s="75"/>
      <c r="E24" s="75"/>
      <c r="F24" s="75"/>
      <c r="G24" s="75"/>
      <c r="H24" s="75"/>
      <c r="I24" s="75"/>
      <c r="J24" s="75"/>
      <c r="K24" s="2"/>
      <c r="L24" s="2"/>
    </row>
    <row r="25" spans="1:12" ht="30.75" customHeight="1" x14ac:dyDescent="0.25">
      <c r="A25" s="69"/>
      <c r="B25" s="190" t="s">
        <v>44</v>
      </c>
      <c r="C25" s="188"/>
      <c r="D25" s="188"/>
      <c r="E25" s="188"/>
      <c r="F25" s="188"/>
      <c r="G25" s="188"/>
      <c r="H25" s="188"/>
      <c r="I25" s="188"/>
      <c r="J25" s="188"/>
      <c r="K25" s="2"/>
      <c r="L25" s="2"/>
    </row>
    <row r="26" spans="1:12" ht="15" customHeight="1" x14ac:dyDescent="0.25">
      <c r="A26" s="69"/>
      <c r="B26" s="73"/>
      <c r="C26" s="74"/>
      <c r="D26" s="74"/>
      <c r="E26" s="74"/>
      <c r="F26" s="74"/>
      <c r="G26" s="74"/>
      <c r="H26" s="74"/>
      <c r="I26" s="74"/>
      <c r="J26" s="74"/>
      <c r="K26" s="2"/>
      <c r="L26" s="2"/>
    </row>
    <row r="27" spans="1:12" ht="24" customHeight="1" x14ac:dyDescent="0.25">
      <c r="A27" s="69"/>
      <c r="B27" s="187" t="s">
        <v>45</v>
      </c>
      <c r="C27" s="188"/>
      <c r="D27" s="188"/>
      <c r="E27" s="188"/>
      <c r="F27" s="188"/>
      <c r="G27" s="188"/>
      <c r="H27" s="188"/>
      <c r="I27" s="188"/>
      <c r="J27" s="188"/>
      <c r="K27" s="2"/>
      <c r="L27" s="2"/>
    </row>
    <row r="28" spans="1:12" ht="15" customHeight="1" x14ac:dyDescent="0.25">
      <c r="A28" s="69"/>
      <c r="B28" s="76"/>
      <c r="C28" s="76"/>
      <c r="D28" s="76"/>
      <c r="E28" s="76"/>
      <c r="F28" s="76"/>
      <c r="G28" s="76"/>
      <c r="H28" s="76"/>
      <c r="I28" s="76"/>
      <c r="J28" s="76"/>
    </row>
    <row r="29" spans="1:12" x14ac:dyDescent="0.25">
      <c r="A29" s="76"/>
      <c r="B29" s="76"/>
      <c r="C29" s="76"/>
      <c r="D29" s="76"/>
      <c r="E29" s="76"/>
      <c r="F29" s="76"/>
      <c r="G29" s="76"/>
      <c r="H29" s="76"/>
      <c r="I29" s="76"/>
      <c r="J29" s="76"/>
    </row>
    <row r="30" spans="1:12" x14ac:dyDescent="0.25">
      <c r="A30" s="76"/>
      <c r="B30" s="76" t="s">
        <v>22</v>
      </c>
      <c r="C30" s="76"/>
      <c r="D30" s="76"/>
      <c r="E30" s="76"/>
      <c r="F30" s="76"/>
      <c r="G30" s="76"/>
      <c r="H30" s="76"/>
      <c r="I30" s="76"/>
      <c r="J30" s="76"/>
    </row>
    <row r="31" spans="1:12" x14ac:dyDescent="0.25">
      <c r="B31" s="1" t="s">
        <v>10</v>
      </c>
    </row>
    <row r="32" spans="1:12" x14ac:dyDescent="0.25">
      <c r="B32" s="1" t="s">
        <v>5</v>
      </c>
    </row>
    <row r="33" spans="2:2" x14ac:dyDescent="0.25">
      <c r="B33" s="1" t="s">
        <v>23</v>
      </c>
    </row>
    <row r="34" spans="2:2" x14ac:dyDescent="0.25">
      <c r="B34" s="1" t="s">
        <v>24</v>
      </c>
    </row>
    <row r="35" spans="2:2" x14ac:dyDescent="0.25">
      <c r="B35" s="1" t="s">
        <v>25</v>
      </c>
    </row>
    <row r="36" spans="2:2" x14ac:dyDescent="0.25">
      <c r="B36" s="1" t="s">
        <v>26</v>
      </c>
    </row>
    <row r="37" spans="2:2" x14ac:dyDescent="0.25">
      <c r="B37" s="30" t="s">
        <v>27</v>
      </c>
    </row>
  </sheetData>
  <mergeCells count="5">
    <mergeCell ref="B27:J27"/>
    <mergeCell ref="B18:L18"/>
    <mergeCell ref="B25:J25"/>
    <mergeCell ref="B16:L16"/>
    <mergeCell ref="B23:J23"/>
  </mergeCells>
  <phoneticPr fontId="7" type="noConversion"/>
  <hyperlinks>
    <hyperlink ref="C8" r:id="rId1" xr:uid="{00000000-0004-0000-0000-000000000000}"/>
    <hyperlink ref="C9" r:id="rId2" xr:uid="{00000000-0004-0000-0000-000001000000}"/>
  </hyperlinks>
  <pageMargins left="0.78740157499999996" right="0.78740157499999996" top="0.984251969" bottom="0.984251969"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52"/>
  </sheetPr>
  <dimension ref="A1:N55"/>
  <sheetViews>
    <sheetView showGridLines="0" zoomScale="85" zoomScaleNormal="85" workbookViewId="0">
      <selection activeCell="I8" sqref="I8"/>
    </sheetView>
  </sheetViews>
  <sheetFormatPr defaultColWidth="9.140625" defaultRowHeight="14.25" x14ac:dyDescent="0.2"/>
  <cols>
    <col min="1" max="1" width="9.140625" style="3"/>
    <col min="2" max="2" width="22.28515625" style="3" customWidth="1"/>
    <col min="3" max="3" width="11.85546875" style="3" customWidth="1"/>
    <col min="4" max="4" width="11.140625" style="3" customWidth="1"/>
    <col min="5" max="5" width="12" style="3" customWidth="1"/>
    <col min="6" max="6" width="10.85546875" style="3" customWidth="1"/>
    <col min="7" max="7" width="13.140625" style="3" bestFit="1" customWidth="1"/>
    <col min="8" max="8" width="10.7109375" style="3" customWidth="1"/>
    <col min="9" max="9" width="10.28515625" style="3" customWidth="1"/>
    <col min="10" max="10" width="11" style="3" customWidth="1"/>
    <col min="11" max="11" width="10.5703125" style="3" customWidth="1"/>
    <col min="12" max="12" width="9.140625" style="3"/>
    <col min="13" max="13" width="9.85546875" style="3" bestFit="1" customWidth="1"/>
    <col min="14" max="16384" width="9.140625" style="3"/>
  </cols>
  <sheetData>
    <row r="1" spans="1:14" ht="19.5" x14ac:dyDescent="0.4">
      <c r="A1" s="192" t="s">
        <v>148</v>
      </c>
      <c r="B1" s="192"/>
      <c r="C1" s="192"/>
      <c r="D1" s="192"/>
      <c r="E1" s="192"/>
      <c r="F1" s="192"/>
      <c r="G1" s="192"/>
      <c r="H1" s="192"/>
      <c r="I1" s="192"/>
      <c r="J1" s="192"/>
      <c r="K1" s="51"/>
    </row>
    <row r="2" spans="1:14" x14ac:dyDescent="0.2">
      <c r="A2" s="5"/>
      <c r="B2" s="77" t="s">
        <v>48</v>
      </c>
      <c r="C2" s="37"/>
      <c r="D2" s="37" t="s">
        <v>29</v>
      </c>
      <c r="E2" s="37"/>
      <c r="F2" s="36"/>
      <c r="G2" s="36" t="s">
        <v>30</v>
      </c>
      <c r="H2" s="36"/>
      <c r="K2" s="51"/>
    </row>
    <row r="3" spans="1:14" ht="38.25" x14ac:dyDescent="0.2">
      <c r="A3" s="5"/>
      <c r="B3" s="40" t="s">
        <v>0</v>
      </c>
      <c r="C3" s="186" t="s">
        <v>1</v>
      </c>
      <c r="D3" s="186" t="s">
        <v>142</v>
      </c>
      <c r="E3" s="62" t="s">
        <v>3</v>
      </c>
      <c r="F3" s="7" t="s">
        <v>3</v>
      </c>
      <c r="G3" s="86" t="s">
        <v>143</v>
      </c>
      <c r="H3" s="7" t="s">
        <v>30</v>
      </c>
      <c r="J3" s="150" t="s">
        <v>138</v>
      </c>
      <c r="K3" s="31" t="s">
        <v>4</v>
      </c>
      <c r="L3" s="7" t="s">
        <v>35</v>
      </c>
    </row>
    <row r="4" spans="1:14" x14ac:dyDescent="0.2">
      <c r="A4" s="6"/>
      <c r="B4" s="9" t="s">
        <v>28</v>
      </c>
      <c r="C4" s="172">
        <f>1-D4</f>
        <v>0.97499999999999998</v>
      </c>
      <c r="D4" s="173">
        <v>2.5000000000000001E-2</v>
      </c>
      <c r="E4" s="63"/>
      <c r="F4" s="68">
        <v>0.1</v>
      </c>
      <c r="G4" s="103">
        <f>1-F4</f>
        <v>0.9</v>
      </c>
      <c r="H4" s="42"/>
      <c r="J4" s="32" t="s">
        <v>31</v>
      </c>
      <c r="K4" s="48">
        <v>0</v>
      </c>
      <c r="L4" s="38"/>
      <c r="N4" s="3" t="s">
        <v>141</v>
      </c>
    </row>
    <row r="5" spans="1:14" x14ac:dyDescent="0.2">
      <c r="A5" s="6"/>
      <c r="B5" s="41" t="s">
        <v>2</v>
      </c>
      <c r="C5" s="174">
        <v>76330</v>
      </c>
      <c r="D5" s="174">
        <v>113300</v>
      </c>
      <c r="E5" s="154">
        <f>SUM(C6:D6)</f>
        <v>77254.25</v>
      </c>
      <c r="F5" s="43">
        <f>E5</f>
        <v>77254.25</v>
      </c>
      <c r="G5" s="132">
        <v>116090</v>
      </c>
      <c r="H5" s="43">
        <f>G6+F6</f>
        <v>112206.425</v>
      </c>
      <c r="J5" s="33" t="s">
        <v>32</v>
      </c>
      <c r="K5" s="49">
        <v>3.958359228132436E-2</v>
      </c>
      <c r="L5" s="8">
        <v>111245.39224999999</v>
      </c>
      <c r="N5" s="3" t="s">
        <v>140</v>
      </c>
    </row>
    <row r="6" spans="1:14" x14ac:dyDescent="0.2">
      <c r="A6" s="6"/>
      <c r="B6" s="41" t="s">
        <v>41</v>
      </c>
      <c r="C6" s="175">
        <f>C5*C4</f>
        <v>74421.75</v>
      </c>
      <c r="D6" s="175">
        <f>D5*D4</f>
        <v>2832.5</v>
      </c>
      <c r="E6" s="155">
        <f>E5*$H$50</f>
        <v>81.507548399862486</v>
      </c>
      <c r="F6" s="43">
        <f>F5*F4</f>
        <v>7725.4250000000002</v>
      </c>
      <c r="G6" s="43">
        <f>G5*G4</f>
        <v>104481</v>
      </c>
      <c r="H6" s="162">
        <f>H5*$H$50</f>
        <v>118.38404510383624</v>
      </c>
      <c r="J6" s="33" t="s">
        <v>33</v>
      </c>
      <c r="K6" s="49">
        <v>7.0426136732685066E-2</v>
      </c>
      <c r="L6" s="8">
        <v>109695.425</v>
      </c>
    </row>
    <row r="7" spans="1:14" x14ac:dyDescent="0.2">
      <c r="A7" s="6"/>
      <c r="B7" s="44" t="s">
        <v>4</v>
      </c>
      <c r="C7" s="176">
        <f>C6/$E$5</f>
        <v>0.96333535048233587</v>
      </c>
      <c r="D7" s="176">
        <f>D6/$E$5</f>
        <v>3.6664649517664079E-2</v>
      </c>
      <c r="E7" s="152"/>
      <c r="F7" s="153">
        <f>F6/$H$5</f>
        <v>6.8850112638380562E-2</v>
      </c>
      <c r="G7" s="153">
        <f>G6/$H$5</f>
        <v>0.93114988736161941</v>
      </c>
      <c r="H7" s="45"/>
      <c r="I7" s="156"/>
      <c r="J7" s="34" t="s">
        <v>34</v>
      </c>
      <c r="K7" s="50">
        <v>0.10740384206548817</v>
      </c>
      <c r="L7" s="39">
        <v>107893.1375</v>
      </c>
    </row>
    <row r="8" spans="1:14" x14ac:dyDescent="0.2">
      <c r="A8" s="6"/>
      <c r="B8" s="35" t="s">
        <v>36</v>
      </c>
      <c r="C8" s="177">
        <f>C9*C7</f>
        <v>50.436806972400106</v>
      </c>
      <c r="D8" s="177">
        <f>D9*D7</f>
        <v>3.6414463206103354</v>
      </c>
      <c r="E8" s="136">
        <v>40</v>
      </c>
      <c r="F8" s="137">
        <f>E8*F7</f>
        <v>2.7540045055352227</v>
      </c>
      <c r="G8" s="135">
        <f>G9*G7</f>
        <v>92.558179489838636</v>
      </c>
      <c r="H8" s="137">
        <f>G8+F8</f>
        <v>95.312183995373857</v>
      </c>
      <c r="J8" s="34" t="s">
        <v>37</v>
      </c>
      <c r="K8" s="50">
        <v>0.79440150893202655</v>
      </c>
      <c r="L8" s="39">
        <v>82661.112500000003</v>
      </c>
    </row>
    <row r="9" spans="1:14" x14ac:dyDescent="0.2">
      <c r="A9" s="6"/>
      <c r="B9" s="52" t="s">
        <v>40</v>
      </c>
      <c r="C9" s="178">
        <v>52.356437399651867</v>
      </c>
      <c r="D9" s="179">
        <f>100.366089930925-1.04845377416913</f>
        <v>99.317636156755867</v>
      </c>
      <c r="E9" s="64"/>
      <c r="F9" s="66"/>
      <c r="G9" s="166">
        <f>100.447364845951-G11</f>
        <v>99.402019745820937</v>
      </c>
      <c r="H9" s="53"/>
      <c r="J9" s="34" t="s">
        <v>46</v>
      </c>
      <c r="K9" s="50">
        <f>F7</f>
        <v>6.8850112638380562E-2</v>
      </c>
      <c r="L9" s="39">
        <f>H5</f>
        <v>112206.425</v>
      </c>
    </row>
    <row r="10" spans="1:14" x14ac:dyDescent="0.2">
      <c r="B10" s="41" t="s">
        <v>39</v>
      </c>
      <c r="C10" s="180">
        <v>19.8</v>
      </c>
      <c r="D10" s="181"/>
      <c r="E10" s="140">
        <v>0</v>
      </c>
      <c r="F10" s="140">
        <f>F7*E10</f>
        <v>0</v>
      </c>
      <c r="G10" s="61"/>
      <c r="H10" s="138">
        <f>F10</f>
        <v>0</v>
      </c>
      <c r="J10" s="5"/>
    </row>
    <row r="11" spans="1:14" x14ac:dyDescent="0.2">
      <c r="B11" s="55" t="s">
        <v>38</v>
      </c>
      <c r="C11" s="182" t="s">
        <v>43</v>
      </c>
      <c r="D11" s="183"/>
      <c r="E11" s="134"/>
      <c r="F11" s="167">
        <f>$H$11*F7</f>
        <v>7.7293815815050321E-2</v>
      </c>
      <c r="G11" s="168">
        <f>H11*G7</f>
        <v>1.0453451001300604</v>
      </c>
      <c r="H11" s="165">
        <f>1.04845377416913+0.0741851417759807</f>
        <v>1.1226389159451107</v>
      </c>
      <c r="J11" s="5"/>
    </row>
    <row r="12" spans="1:14" x14ac:dyDescent="0.2">
      <c r="B12" s="56" t="s">
        <v>42</v>
      </c>
      <c r="C12" s="184">
        <f>C9+C10</f>
        <v>72.156437399651864</v>
      </c>
      <c r="D12" s="185"/>
      <c r="E12" s="58">
        <f>SUM(E8:E11)</f>
        <v>40</v>
      </c>
      <c r="F12" s="142">
        <f>SUM(F8:F11)</f>
        <v>2.8312983213502729</v>
      </c>
      <c r="G12" s="164"/>
      <c r="H12" s="151">
        <f>SUM(H8:H11)</f>
        <v>96.434822911318975</v>
      </c>
      <c r="J12" s="5"/>
    </row>
    <row r="13" spans="1:14" x14ac:dyDescent="0.2">
      <c r="E13" s="157"/>
      <c r="J13" s="161"/>
    </row>
    <row r="14" spans="1:14" x14ac:dyDescent="0.2">
      <c r="E14" s="158"/>
      <c r="F14" s="157"/>
      <c r="G14" s="157"/>
      <c r="H14" s="157"/>
      <c r="J14" s="157"/>
    </row>
    <row r="15" spans="1:14" x14ac:dyDescent="0.2">
      <c r="E15" s="158"/>
      <c r="F15" s="157"/>
      <c r="G15" s="157"/>
      <c r="H15" s="157"/>
      <c r="J15" s="5"/>
      <c r="L15" s="160"/>
    </row>
    <row r="16" spans="1:14" x14ac:dyDescent="0.2">
      <c r="J16" s="159"/>
    </row>
    <row r="17" spans="2:12" x14ac:dyDescent="0.2">
      <c r="B17" s="77" t="s">
        <v>49</v>
      </c>
      <c r="C17" s="149" t="s">
        <v>137</v>
      </c>
      <c r="D17" s="36"/>
      <c r="E17" s="36" t="s">
        <v>30</v>
      </c>
      <c r="F17" s="36"/>
      <c r="J17" s="161"/>
      <c r="K17" s="171"/>
      <c r="L17" s="156"/>
    </row>
    <row r="18" spans="2:12" ht="25.5" x14ac:dyDescent="0.2">
      <c r="B18" s="40" t="s">
        <v>0</v>
      </c>
      <c r="C18" s="62" t="s">
        <v>50</v>
      </c>
      <c r="D18" s="7" t="s">
        <v>50</v>
      </c>
      <c r="E18" s="86" t="s">
        <v>51</v>
      </c>
      <c r="F18" s="7" t="s">
        <v>30</v>
      </c>
      <c r="J18" s="170"/>
      <c r="K18" s="160"/>
      <c r="L18" s="160"/>
    </row>
    <row r="19" spans="2:12" x14ac:dyDescent="0.2">
      <c r="B19" s="9" t="s">
        <v>28</v>
      </c>
      <c r="C19" s="79"/>
      <c r="D19" s="68">
        <v>2.5001199673688756E-2</v>
      </c>
      <c r="E19" s="42">
        <f>1-D19</f>
        <v>0.97499880032631125</v>
      </c>
      <c r="F19" s="42"/>
    </row>
    <row r="20" spans="2:12" x14ac:dyDescent="0.2">
      <c r="B20" s="41" t="s">
        <v>2</v>
      </c>
      <c r="C20" s="132">
        <v>119550</v>
      </c>
      <c r="D20" s="43">
        <f>C20</f>
        <v>119550</v>
      </c>
      <c r="E20" s="4">
        <v>127460</v>
      </c>
      <c r="F20" s="43">
        <f>E21+D21</f>
        <v>127262.24051058112</v>
      </c>
    </row>
    <row r="21" spans="2:12" x14ac:dyDescent="0.2">
      <c r="B21" s="41" t="s">
        <v>41</v>
      </c>
      <c r="C21" s="80"/>
      <c r="D21" s="43">
        <f>D20*D19</f>
        <v>2988.8934209894906</v>
      </c>
      <c r="E21" s="43">
        <f>E20*E19</f>
        <v>124273.34708959163</v>
      </c>
      <c r="F21" s="163">
        <f>F20*$H$50</f>
        <v>134.26877133479559</v>
      </c>
    </row>
    <row r="22" spans="2:12" x14ac:dyDescent="0.2">
      <c r="B22" s="44" t="s">
        <v>4</v>
      </c>
      <c r="C22" s="81"/>
      <c r="D22" s="153">
        <f>D21/$F$20</f>
        <v>2.3486097753724375E-2</v>
      </c>
      <c r="E22" s="153">
        <f>E21/$F$20</f>
        <v>0.97651390224627554</v>
      </c>
      <c r="F22" s="45"/>
    </row>
    <row r="23" spans="2:12" x14ac:dyDescent="0.2">
      <c r="B23" s="78" t="s">
        <v>36</v>
      </c>
      <c r="C23" s="82"/>
      <c r="D23" s="47">
        <f>C24*D22</f>
        <v>0.35229146630586561</v>
      </c>
      <c r="E23" s="46">
        <f>E24*E22</f>
        <v>98.056329828441477</v>
      </c>
      <c r="F23" s="47">
        <f>E23+D23</f>
        <v>98.408621294747348</v>
      </c>
    </row>
    <row r="24" spans="2:12" x14ac:dyDescent="0.2">
      <c r="B24" s="52" t="s">
        <v>40</v>
      </c>
      <c r="C24" s="84">
        <v>15</v>
      </c>
      <c r="D24" s="85"/>
      <c r="E24" s="59">
        <v>100.41467879042217</v>
      </c>
      <c r="F24" s="53"/>
    </row>
    <row r="25" spans="2:12" x14ac:dyDescent="0.2">
      <c r="B25" s="41" t="s">
        <v>39</v>
      </c>
      <c r="C25" s="60">
        <v>0</v>
      </c>
      <c r="D25" s="65">
        <f>D22*C25</f>
        <v>0</v>
      </c>
      <c r="E25" s="61"/>
      <c r="F25" s="54">
        <f>D25</f>
        <v>0</v>
      </c>
    </row>
    <row r="26" spans="2:12" x14ac:dyDescent="0.2">
      <c r="B26" s="55" t="s">
        <v>38</v>
      </c>
      <c r="C26" s="83">
        <f>0.76</f>
        <v>0.76</v>
      </c>
      <c r="D26" s="67">
        <f>C26*D22</f>
        <v>1.7849434292830525E-2</v>
      </c>
      <c r="E26" s="141">
        <f>0.76*E22</f>
        <v>0.74215056570716942</v>
      </c>
      <c r="F26" s="139">
        <f>D26+E26</f>
        <v>0.7599999999999999</v>
      </c>
    </row>
    <row r="27" spans="2:12" x14ac:dyDescent="0.2">
      <c r="B27" s="56" t="s">
        <v>42</v>
      </c>
      <c r="C27" s="58">
        <f>SUM(C24:C26)</f>
        <v>15.76</v>
      </c>
      <c r="D27" s="56"/>
      <c r="E27" s="57"/>
      <c r="F27" s="133">
        <f>SUM(F23:F26)</f>
        <v>99.168621294747354</v>
      </c>
      <c r="H27" s="3" t="s">
        <v>139</v>
      </c>
    </row>
    <row r="33" spans="2:10" ht="15" x14ac:dyDescent="0.25">
      <c r="B33" s="105" t="s">
        <v>77</v>
      </c>
      <c r="C33" s="106" t="s">
        <v>78</v>
      </c>
      <c r="D33" s="106" t="s">
        <v>79</v>
      </c>
      <c r="E33" s="106" t="s">
        <v>80</v>
      </c>
      <c r="F33" s="106" t="s">
        <v>81</v>
      </c>
      <c r="G33" s="107" t="s">
        <v>82</v>
      </c>
      <c r="H33"/>
      <c r="I33"/>
      <c r="J33"/>
    </row>
    <row r="34" spans="2:10" ht="15" x14ac:dyDescent="0.25">
      <c r="B34" s="108" t="s">
        <v>83</v>
      </c>
      <c r="C34" s="109">
        <v>1</v>
      </c>
      <c r="D34" s="109">
        <v>1000</v>
      </c>
      <c r="E34" s="109">
        <v>1000000</v>
      </c>
      <c r="F34" s="110">
        <v>453.59237000000002</v>
      </c>
      <c r="G34" s="111">
        <f>F34*2000</f>
        <v>907184.74</v>
      </c>
      <c r="H34"/>
      <c r="I34"/>
      <c r="J34"/>
    </row>
    <row r="35" spans="2:10" ht="15" x14ac:dyDescent="0.25">
      <c r="B35" s="108" t="s">
        <v>84</v>
      </c>
      <c r="C35" s="112">
        <f>C34/D34</f>
        <v>1E-3</v>
      </c>
      <c r="D35" s="109">
        <v>1</v>
      </c>
      <c r="E35" s="109">
        <f>E34/D34</f>
        <v>1000</v>
      </c>
      <c r="F35" s="110">
        <f>F34/D34</f>
        <v>0.45359237000000002</v>
      </c>
      <c r="G35" s="113">
        <f>G34/D34</f>
        <v>907.18474000000003</v>
      </c>
      <c r="H35"/>
      <c r="I35"/>
      <c r="J35"/>
    </row>
    <row r="36" spans="2:10" ht="15" x14ac:dyDescent="0.25">
      <c r="B36" s="108" t="s">
        <v>85</v>
      </c>
      <c r="C36" s="112">
        <f>C34/E34</f>
        <v>9.9999999999999995E-7</v>
      </c>
      <c r="D36" s="112">
        <f>D34/E34</f>
        <v>1E-3</v>
      </c>
      <c r="E36" s="109">
        <v>1</v>
      </c>
      <c r="F36" s="112">
        <f>F34/E34</f>
        <v>4.5359237000000004E-4</v>
      </c>
      <c r="G36" s="113">
        <f>G34/E34</f>
        <v>0.90718474000000004</v>
      </c>
      <c r="H36"/>
      <c r="I36"/>
      <c r="J36"/>
    </row>
    <row r="37" spans="2:10" ht="15" x14ac:dyDescent="0.25">
      <c r="B37" s="108" t="s">
        <v>86</v>
      </c>
      <c r="C37" s="112">
        <f>C34/F34</f>
        <v>2.2046226218487759E-3</v>
      </c>
      <c r="D37" s="110">
        <f>D34/F34</f>
        <v>2.2046226218487757</v>
      </c>
      <c r="E37" s="109">
        <f>E34/F34</f>
        <v>2204.6226218487759</v>
      </c>
      <c r="F37" s="109">
        <v>1</v>
      </c>
      <c r="G37" s="111">
        <f>G34/F34</f>
        <v>2000</v>
      </c>
      <c r="H37"/>
      <c r="I37"/>
      <c r="J37"/>
    </row>
    <row r="38" spans="2:10" ht="15" x14ac:dyDescent="0.25">
      <c r="B38" s="114" t="s">
        <v>87</v>
      </c>
      <c r="C38" s="115">
        <f>C34/G34</f>
        <v>1.102311310924388E-6</v>
      </c>
      <c r="D38" s="115">
        <f>D34/G34</f>
        <v>1.1023113109243879E-3</v>
      </c>
      <c r="E38" s="116">
        <f>E34/G34</f>
        <v>1.1023113109243878</v>
      </c>
      <c r="F38" s="115">
        <f>F34/G34</f>
        <v>5.0000000000000001E-4</v>
      </c>
      <c r="G38" s="117">
        <v>1</v>
      </c>
      <c r="H38"/>
      <c r="I38"/>
      <c r="J38"/>
    </row>
    <row r="39" spans="2:10" ht="15" x14ac:dyDescent="0.25">
      <c r="B39"/>
      <c r="C39"/>
      <c r="D39"/>
      <c r="E39"/>
      <c r="F39"/>
      <c r="G39"/>
      <c r="H39"/>
      <c r="I39"/>
      <c r="J39"/>
    </row>
    <row r="40" spans="2:10" ht="15" x14ac:dyDescent="0.25">
      <c r="B40" s="105" t="s">
        <v>88</v>
      </c>
      <c r="C40" s="106" t="s">
        <v>89</v>
      </c>
      <c r="D40" s="106" t="s">
        <v>90</v>
      </c>
      <c r="E40" s="106" t="s">
        <v>91</v>
      </c>
      <c r="F40" s="106" t="s">
        <v>92</v>
      </c>
      <c r="G40" s="107" t="s">
        <v>93</v>
      </c>
      <c r="H40"/>
      <c r="I40"/>
      <c r="J40"/>
    </row>
    <row r="41" spans="2:10" ht="15" x14ac:dyDescent="0.25">
      <c r="B41" s="108" t="s">
        <v>94</v>
      </c>
      <c r="C41" s="118">
        <v>1</v>
      </c>
      <c r="D41" s="119">
        <v>9.9999999999999995E-7</v>
      </c>
      <c r="E41" s="120">
        <v>1E-3</v>
      </c>
      <c r="F41" s="121">
        <v>3.7854109999999998E-3</v>
      </c>
      <c r="G41" s="122">
        <v>2.8316846999999999E-2</v>
      </c>
      <c r="H41"/>
      <c r="I41"/>
      <c r="J41"/>
    </row>
    <row r="42" spans="2:10" ht="15" x14ac:dyDescent="0.25">
      <c r="B42" s="108" t="s">
        <v>95</v>
      </c>
      <c r="C42" s="109">
        <f>C41/D41</f>
        <v>1000000</v>
      </c>
      <c r="D42" s="109">
        <v>1</v>
      </c>
      <c r="E42" s="109">
        <f>E41/D41</f>
        <v>1000.0000000000001</v>
      </c>
      <c r="F42" s="109">
        <f>F41/D41</f>
        <v>3785.4110000000001</v>
      </c>
      <c r="G42" s="111">
        <f>G41/D41</f>
        <v>28316.847000000002</v>
      </c>
      <c r="H42"/>
      <c r="I42"/>
      <c r="J42"/>
    </row>
    <row r="43" spans="2:10" ht="15" x14ac:dyDescent="0.25">
      <c r="B43" s="108" t="s">
        <v>96</v>
      </c>
      <c r="C43" s="109">
        <f>C41/E41</f>
        <v>1000</v>
      </c>
      <c r="D43" s="110">
        <f>D41/E41</f>
        <v>1E-3</v>
      </c>
      <c r="E43" s="109">
        <v>1</v>
      </c>
      <c r="F43" s="110">
        <f>F41/E41</f>
        <v>3.7854109999999999</v>
      </c>
      <c r="G43" s="113">
        <f>G41/E41</f>
        <v>28.316846999999999</v>
      </c>
      <c r="H43"/>
      <c r="I43"/>
      <c r="J43"/>
    </row>
    <row r="44" spans="2:10" ht="15" x14ac:dyDescent="0.25">
      <c r="B44" s="108" t="s">
        <v>97</v>
      </c>
      <c r="C44" s="123">
        <f>C41/F41</f>
        <v>264.17210707106841</v>
      </c>
      <c r="D44" s="112">
        <f>D41/F41</f>
        <v>2.6417210707106839E-4</v>
      </c>
      <c r="E44" s="110">
        <f>E41/F41</f>
        <v>0.26417210707106842</v>
      </c>
      <c r="F44" s="109">
        <v>1</v>
      </c>
      <c r="G44" s="113">
        <f>G41/F41</f>
        <v>7.4805211375990615</v>
      </c>
      <c r="H44"/>
      <c r="I44"/>
      <c r="J44"/>
    </row>
    <row r="45" spans="2:10" ht="15" x14ac:dyDescent="0.25">
      <c r="B45" s="114" t="s">
        <v>98</v>
      </c>
      <c r="C45" s="124">
        <f>C41/G41</f>
        <v>35.314666212661322</v>
      </c>
      <c r="D45" s="115">
        <f>D41/G41</f>
        <v>3.5314666212661319E-5</v>
      </c>
      <c r="E45" s="116">
        <f>E41/G41</f>
        <v>3.5314666212661321E-2</v>
      </c>
      <c r="F45" s="116">
        <f>F41/G41</f>
        <v>0.13368052594273649</v>
      </c>
      <c r="G45" s="117">
        <v>1</v>
      </c>
      <c r="H45"/>
      <c r="I45"/>
      <c r="J45"/>
    </row>
    <row r="46" spans="2:10" ht="15" x14ac:dyDescent="0.25">
      <c r="B46"/>
      <c r="C46"/>
      <c r="D46"/>
      <c r="E46"/>
      <c r="F46"/>
      <c r="G46"/>
      <c r="H46"/>
      <c r="I46"/>
      <c r="J46"/>
    </row>
    <row r="47" spans="2:10" ht="15" x14ac:dyDescent="0.25">
      <c r="B47" s="105" t="s">
        <v>99</v>
      </c>
      <c r="C47" s="106" t="s">
        <v>100</v>
      </c>
      <c r="D47" s="106" t="s">
        <v>101</v>
      </c>
      <c r="E47" s="106" t="s">
        <v>102</v>
      </c>
      <c r="F47" s="106" t="s">
        <v>103</v>
      </c>
      <c r="G47" s="106" t="s">
        <v>104</v>
      </c>
      <c r="H47" s="106" t="s">
        <v>105</v>
      </c>
      <c r="I47" s="106" t="s">
        <v>106</v>
      </c>
      <c r="J47" s="107" t="s">
        <v>107</v>
      </c>
    </row>
    <row r="48" spans="2:10" ht="15" x14ac:dyDescent="0.25">
      <c r="B48" s="108" t="s">
        <v>108</v>
      </c>
      <c r="C48" s="109">
        <v>1</v>
      </c>
      <c r="D48" s="109">
        <v>1000</v>
      </c>
      <c r="E48" s="109">
        <v>1000000</v>
      </c>
      <c r="F48" s="109">
        <v>3600</v>
      </c>
      <c r="G48" s="109">
        <v>3600000</v>
      </c>
      <c r="H48" s="109">
        <v>1055.05585</v>
      </c>
      <c r="I48" s="109">
        <f>H48*1000000</f>
        <v>1055055850</v>
      </c>
      <c r="J48" s="125">
        <f>1/C55</f>
        <v>2684519.5376862194</v>
      </c>
    </row>
    <row r="49" spans="2:10" ht="15" x14ac:dyDescent="0.25">
      <c r="B49" s="108" t="s">
        <v>109</v>
      </c>
      <c r="C49" s="110">
        <f>J2J/D48</f>
        <v>0</v>
      </c>
      <c r="D49" s="109">
        <v>1</v>
      </c>
      <c r="E49" s="109">
        <f>E48/D48</f>
        <v>1000</v>
      </c>
      <c r="F49" s="123">
        <f>F48/D48</f>
        <v>3.6</v>
      </c>
      <c r="G49" s="109">
        <f>G48/D48</f>
        <v>3600</v>
      </c>
      <c r="H49" s="110">
        <f>H48/D48</f>
        <v>1.05505585</v>
      </c>
      <c r="I49" s="109">
        <f>I48/D48</f>
        <v>1055055.8500000001</v>
      </c>
      <c r="J49" s="125">
        <f>1/D55</f>
        <v>2684.5195376862198</v>
      </c>
    </row>
    <row r="50" spans="2:10" ht="15" x14ac:dyDescent="0.25">
      <c r="B50" s="108" t="s">
        <v>110</v>
      </c>
      <c r="C50" s="112">
        <f>C48/E48</f>
        <v>9.9999999999999995E-7</v>
      </c>
      <c r="D50" s="110">
        <f>D48/E48</f>
        <v>1E-3</v>
      </c>
      <c r="E50" s="109">
        <v>1</v>
      </c>
      <c r="F50" s="126">
        <f>F48/E48</f>
        <v>3.5999999999999999E-3</v>
      </c>
      <c r="G50" s="123">
        <f>G48/E48</f>
        <v>3.6</v>
      </c>
      <c r="H50" s="112">
        <f>H48/E48</f>
        <v>1.0550558499999999E-3</v>
      </c>
      <c r="I50" s="109">
        <f>I48/E48</f>
        <v>1055.05585</v>
      </c>
      <c r="J50" s="125">
        <f>1/E55</f>
        <v>2.6845195376862194</v>
      </c>
    </row>
    <row r="51" spans="2:10" ht="15" x14ac:dyDescent="0.25">
      <c r="B51" s="108" t="s">
        <v>111</v>
      </c>
      <c r="C51" s="112">
        <f>C48/F48</f>
        <v>2.7777777777777778E-4</v>
      </c>
      <c r="D51" s="110">
        <f>D48/F48</f>
        <v>0.27777777777777779</v>
      </c>
      <c r="E51" s="109">
        <f>E48/F48</f>
        <v>277.77777777777777</v>
      </c>
      <c r="F51" s="109">
        <v>1</v>
      </c>
      <c r="G51" s="109">
        <f>G48/F48</f>
        <v>1000</v>
      </c>
      <c r="H51" s="110">
        <f>H48/F48</f>
        <v>0.29307106944444444</v>
      </c>
      <c r="I51" s="109">
        <f>I48/F48</f>
        <v>293071.06944444444</v>
      </c>
      <c r="J51" s="125">
        <f>1/F55</f>
        <v>745.69987157950538</v>
      </c>
    </row>
    <row r="52" spans="2:10" ht="15" x14ac:dyDescent="0.25">
      <c r="B52" s="108" t="s">
        <v>112</v>
      </c>
      <c r="C52" s="127">
        <f>C48/G48</f>
        <v>2.7777777777777776E-7</v>
      </c>
      <c r="D52" s="112">
        <f>D48/G48</f>
        <v>2.7777777777777778E-4</v>
      </c>
      <c r="E52" s="110">
        <f>E48/G48</f>
        <v>0.27777777777777779</v>
      </c>
      <c r="F52" s="110">
        <f>F48/G48</f>
        <v>1E-3</v>
      </c>
      <c r="G52" s="109">
        <v>1</v>
      </c>
      <c r="H52" s="112">
        <f>H48/G48</f>
        <v>2.9307106944444444E-4</v>
      </c>
      <c r="I52" s="109">
        <f>I48/G48</f>
        <v>293.07106944444445</v>
      </c>
      <c r="J52" s="125">
        <f>1/G55</f>
        <v>0.74569987157950535</v>
      </c>
    </row>
    <row r="53" spans="2:10" ht="15" x14ac:dyDescent="0.25">
      <c r="B53" s="108" t="s">
        <v>113</v>
      </c>
      <c r="C53" s="112">
        <f>C48/H48</f>
        <v>9.4781712266701337E-4</v>
      </c>
      <c r="D53" s="110">
        <f>D48/H48</f>
        <v>0.94781712266701335</v>
      </c>
      <c r="E53" s="109">
        <f>E48/H48</f>
        <v>947.81712266701334</v>
      </c>
      <c r="F53" s="110">
        <f>F48/H48</f>
        <v>3.4121416416012482</v>
      </c>
      <c r="G53" s="109">
        <f>G48/H48</f>
        <v>3412.141641601248</v>
      </c>
      <c r="H53" s="109">
        <v>1</v>
      </c>
      <c r="I53" s="109">
        <f>I48/H48</f>
        <v>1000000</v>
      </c>
      <c r="J53" s="125" t="e">
        <f>1/H55</f>
        <v>#DIV/0!</v>
      </c>
    </row>
    <row r="54" spans="2:10" ht="15" x14ac:dyDescent="0.25">
      <c r="B54" s="108" t="s">
        <v>114</v>
      </c>
      <c r="C54" s="128">
        <f>C48/I48</f>
        <v>9.4781712266701324E-10</v>
      </c>
      <c r="D54" s="112">
        <f>D48/I48</f>
        <v>9.4781712266701337E-7</v>
      </c>
      <c r="E54" s="112">
        <f>E48/I48</f>
        <v>9.4781712266701326E-4</v>
      </c>
      <c r="F54" s="129">
        <f>F48/I48</f>
        <v>3.4121416416012478E-6</v>
      </c>
      <c r="G54" s="112">
        <f>G48/I48</f>
        <v>3.4121416416012479E-3</v>
      </c>
      <c r="H54" s="112">
        <f>H48/I48</f>
        <v>9.9999999999999995E-7</v>
      </c>
      <c r="I54" s="109">
        <v>1</v>
      </c>
      <c r="J54" s="125" t="e">
        <f>1/I55</f>
        <v>#DIV/0!</v>
      </c>
    </row>
    <row r="55" spans="2:10" ht="15" x14ac:dyDescent="0.25">
      <c r="B55" s="114" t="s">
        <v>115</v>
      </c>
      <c r="C55" s="130">
        <f>D55/1000</f>
        <v>3.72506136E-7</v>
      </c>
      <c r="D55" s="130">
        <f>E55/1000</f>
        <v>3.7250613599999999E-4</v>
      </c>
      <c r="E55" s="130">
        <f>G55/3.6</f>
        <v>0.37250613599999999</v>
      </c>
      <c r="F55" s="130">
        <f>G55/1000</f>
        <v>1.3410220896E-3</v>
      </c>
      <c r="G55" s="130">
        <v>1.3410220896</v>
      </c>
      <c r="H55" s="130" t="e">
        <f>G55/kWh2BTU</f>
        <v>#DIV/0!</v>
      </c>
      <c r="I55" s="130" t="e">
        <f>H55*1000000</f>
        <v>#DIV/0!</v>
      </c>
      <c r="J55" s="131">
        <v>1</v>
      </c>
    </row>
  </sheetData>
  <mergeCells count="1">
    <mergeCell ref="A1:J1"/>
  </mergeCells>
  <phoneticPr fontId="7" type="noConversion"/>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G24"/>
  <sheetViews>
    <sheetView workbookViewId="0">
      <selection activeCell="B28" sqref="B28"/>
    </sheetView>
  </sheetViews>
  <sheetFormatPr defaultRowHeight="15" x14ac:dyDescent="0.25"/>
  <cols>
    <col min="1" max="1" width="22" bestFit="1" customWidth="1"/>
    <col min="2" max="2" width="18.28515625" bestFit="1" customWidth="1"/>
    <col min="3" max="3" width="13.42578125" bestFit="1" customWidth="1"/>
    <col min="5" max="5" width="22" bestFit="1" customWidth="1"/>
    <col min="6" max="6" width="18.28515625" bestFit="1" customWidth="1"/>
    <col min="7" max="7" width="13.42578125" bestFit="1" customWidth="1"/>
  </cols>
  <sheetData>
    <row r="1" spans="1:7" ht="18.75" x14ac:dyDescent="0.3">
      <c r="A1" s="147" t="s">
        <v>125</v>
      </c>
      <c r="B1" s="148"/>
      <c r="C1" s="148"/>
      <c r="D1" s="148"/>
      <c r="E1" s="147" t="s">
        <v>126</v>
      </c>
    </row>
    <row r="2" spans="1:7" ht="15.75" thickBot="1" x14ac:dyDescent="0.3">
      <c r="A2" s="95" t="s">
        <v>136</v>
      </c>
      <c r="B2" s="95" t="s">
        <v>57</v>
      </c>
      <c r="C2" s="96" t="s">
        <v>75</v>
      </c>
      <c r="E2" s="95" t="s">
        <v>136</v>
      </c>
      <c r="F2" s="95" t="s">
        <v>57</v>
      </c>
      <c r="G2" s="96" t="s">
        <v>75</v>
      </c>
    </row>
    <row r="3" spans="1:7" ht="15.75" thickTop="1" x14ac:dyDescent="0.25">
      <c r="A3" s="87" t="s">
        <v>59</v>
      </c>
      <c r="B3" s="87"/>
      <c r="C3" s="91">
        <v>26856</v>
      </c>
      <c r="E3" s="87" t="s">
        <v>59</v>
      </c>
      <c r="F3" s="87"/>
      <c r="G3" s="91">
        <v>1745.73</v>
      </c>
    </row>
    <row r="4" spans="1:7" x14ac:dyDescent="0.25">
      <c r="A4" s="87" t="s">
        <v>52</v>
      </c>
      <c r="B4" s="87" t="s">
        <v>61</v>
      </c>
      <c r="C4" s="91">
        <v>24323.409521812762</v>
      </c>
      <c r="E4" s="87" t="s">
        <v>52</v>
      </c>
      <c r="F4" s="87" t="s">
        <v>120</v>
      </c>
      <c r="G4" s="91">
        <v>865.00921500000004</v>
      </c>
    </row>
    <row r="5" spans="1:7" x14ac:dyDescent="0.25">
      <c r="A5" s="87" t="s">
        <v>60</v>
      </c>
      <c r="B5" s="87" t="s">
        <v>61</v>
      </c>
      <c r="C5" s="91">
        <v>0</v>
      </c>
      <c r="E5" s="87" t="s">
        <v>116</v>
      </c>
      <c r="F5" s="87" t="s">
        <v>120</v>
      </c>
      <c r="G5" s="91">
        <v>0</v>
      </c>
    </row>
    <row r="6" spans="1:7" x14ac:dyDescent="0.25">
      <c r="A6" s="87" t="s">
        <v>53</v>
      </c>
      <c r="B6" s="87" t="s">
        <v>62</v>
      </c>
      <c r="C6" s="92">
        <v>0.74222899990715097</v>
      </c>
      <c r="E6" s="87" t="s">
        <v>53</v>
      </c>
      <c r="F6" s="87" t="s">
        <v>121</v>
      </c>
      <c r="G6" s="143">
        <v>1.3762657571847626E-2</v>
      </c>
    </row>
    <row r="7" spans="1:7" x14ac:dyDescent="0.25">
      <c r="A7" s="88" t="s">
        <v>58</v>
      </c>
      <c r="B7" s="88" t="s">
        <v>63</v>
      </c>
      <c r="C7" s="92">
        <v>5.6348599999999998</v>
      </c>
      <c r="E7" s="88" t="s">
        <v>117</v>
      </c>
      <c r="F7" s="88" t="s">
        <v>122</v>
      </c>
      <c r="G7" s="92">
        <v>0.2</v>
      </c>
    </row>
    <row r="8" spans="1:7" x14ac:dyDescent="0.25">
      <c r="A8" s="88" t="s">
        <v>54</v>
      </c>
      <c r="B8" s="88" t="s">
        <v>63</v>
      </c>
      <c r="C8" s="104">
        <v>0</v>
      </c>
      <c r="E8" s="88" t="s">
        <v>118</v>
      </c>
      <c r="F8" s="88" t="s">
        <v>123</v>
      </c>
      <c r="G8" s="104">
        <v>0.84745762711864414</v>
      </c>
    </row>
    <row r="9" spans="1:7" x14ac:dyDescent="0.25">
      <c r="A9" s="88" t="s">
        <v>55</v>
      </c>
      <c r="B9" s="88" t="s">
        <v>64</v>
      </c>
      <c r="C9" s="104">
        <v>2.8822058381758109</v>
      </c>
      <c r="E9" s="88" t="s">
        <v>119</v>
      </c>
      <c r="F9" s="88" t="s">
        <v>124</v>
      </c>
      <c r="G9" s="104">
        <v>0.12</v>
      </c>
    </row>
    <row r="10" spans="1:7" x14ac:dyDescent="0.25">
      <c r="A10" s="88"/>
      <c r="B10" s="88"/>
      <c r="C10" s="93"/>
      <c r="E10" s="88"/>
      <c r="F10" s="88"/>
      <c r="G10" s="93"/>
    </row>
    <row r="11" spans="1:7" x14ac:dyDescent="0.25">
      <c r="A11" s="89" t="s">
        <v>134</v>
      </c>
      <c r="B11" s="89"/>
      <c r="C11" s="94" t="s">
        <v>76</v>
      </c>
      <c r="E11" s="89" t="s">
        <v>134</v>
      </c>
      <c r="F11" s="89"/>
      <c r="G11" s="94" t="s">
        <v>76</v>
      </c>
    </row>
    <row r="12" spans="1:7" x14ac:dyDescent="0.25">
      <c r="A12" s="90"/>
      <c r="B12" s="90"/>
      <c r="C12" s="90"/>
      <c r="E12" s="90"/>
      <c r="F12" s="90"/>
      <c r="G12" s="90"/>
    </row>
    <row r="13" spans="1:7" ht="15.75" thickBot="1" x14ac:dyDescent="0.3">
      <c r="A13" s="96" t="s">
        <v>56</v>
      </c>
      <c r="B13" s="96"/>
      <c r="C13" s="96" t="s">
        <v>75</v>
      </c>
      <c r="E13" s="96" t="s">
        <v>56</v>
      </c>
      <c r="F13" s="96"/>
      <c r="G13" s="96" t="s">
        <v>75</v>
      </c>
    </row>
    <row r="14" spans="1:7" ht="15.75" thickTop="1" x14ac:dyDescent="0.25">
      <c r="A14" s="33" t="s">
        <v>65</v>
      </c>
      <c r="B14" s="100" t="s">
        <v>74</v>
      </c>
      <c r="C14" s="101">
        <v>2.5127670486919018</v>
      </c>
      <c r="E14" s="33" t="s">
        <v>129</v>
      </c>
      <c r="F14" s="100" t="s">
        <v>74</v>
      </c>
      <c r="G14" s="101">
        <v>2.4162561439602461</v>
      </c>
    </row>
    <row r="15" spans="1:7" x14ac:dyDescent="0.25">
      <c r="A15" s="33" t="s">
        <v>66</v>
      </c>
      <c r="B15" s="100" t="s">
        <v>74</v>
      </c>
      <c r="C15" s="101">
        <v>5.4062563774886367</v>
      </c>
      <c r="E15" s="33" t="s">
        <v>130</v>
      </c>
      <c r="F15" s="100" t="s">
        <v>74</v>
      </c>
      <c r="G15" s="101">
        <v>4.1580108536491061</v>
      </c>
    </row>
    <row r="16" spans="1:7" x14ac:dyDescent="0.25">
      <c r="A16" s="33" t="s">
        <v>67</v>
      </c>
      <c r="B16" s="100" t="s">
        <v>74</v>
      </c>
      <c r="C16" s="101">
        <v>7.6144456020966729E-3</v>
      </c>
      <c r="E16" s="33" t="s">
        <v>69</v>
      </c>
      <c r="F16" s="100" t="s">
        <v>74</v>
      </c>
      <c r="G16" s="101">
        <v>1.8896666666666668</v>
      </c>
    </row>
    <row r="17" spans="1:7" x14ac:dyDescent="0.25">
      <c r="A17" s="33" t="s">
        <v>68</v>
      </c>
      <c r="B17" s="100" t="s">
        <v>74</v>
      </c>
      <c r="C17" s="101">
        <v>2.7412004167548019</v>
      </c>
      <c r="E17" s="33" t="s">
        <v>131</v>
      </c>
      <c r="F17" s="100" t="s">
        <v>74</v>
      </c>
      <c r="G17" s="101">
        <v>1.053126531664007</v>
      </c>
    </row>
    <row r="18" spans="1:7" x14ac:dyDescent="0.25">
      <c r="A18" s="33" t="s">
        <v>69</v>
      </c>
      <c r="B18" s="100" t="s">
        <v>74</v>
      </c>
      <c r="C18" s="101">
        <v>4.6504465070245224</v>
      </c>
      <c r="E18" s="33" t="s">
        <v>132</v>
      </c>
      <c r="F18" s="100" t="s">
        <v>74</v>
      </c>
      <c r="G18" s="101">
        <v>0.14046875</v>
      </c>
    </row>
    <row r="19" spans="1:7" x14ac:dyDescent="0.25">
      <c r="A19" s="33" t="s">
        <v>70</v>
      </c>
      <c r="B19" s="100" t="s">
        <v>74</v>
      </c>
      <c r="C19" s="101">
        <v>17.817802708906221</v>
      </c>
      <c r="E19" s="34" t="s">
        <v>133</v>
      </c>
      <c r="F19" s="97" t="s">
        <v>74</v>
      </c>
      <c r="G19" s="98">
        <v>0</v>
      </c>
    </row>
    <row r="20" spans="1:7" x14ac:dyDescent="0.25">
      <c r="A20" s="102" t="s">
        <v>71</v>
      </c>
      <c r="B20" s="100" t="s">
        <v>74</v>
      </c>
      <c r="C20" s="101">
        <v>22.348397842153734</v>
      </c>
    </row>
    <row r="21" spans="1:7" x14ac:dyDescent="0.25">
      <c r="A21" s="102" t="s">
        <v>72</v>
      </c>
      <c r="B21" s="100" t="s">
        <v>74</v>
      </c>
      <c r="C21" s="101">
        <v>10.660223842935341</v>
      </c>
    </row>
    <row r="22" spans="1:7" x14ac:dyDescent="0.25">
      <c r="A22" s="99" t="s">
        <v>73</v>
      </c>
      <c r="B22" s="97" t="s">
        <v>74</v>
      </c>
      <c r="C22" s="98">
        <v>0</v>
      </c>
      <c r="E22" s="144" t="s">
        <v>127</v>
      </c>
      <c r="F22" s="144" t="s">
        <v>128</v>
      </c>
      <c r="G22" s="145">
        <f>60*(1-0.13)</f>
        <v>52.2</v>
      </c>
    </row>
    <row r="24" spans="1:7" x14ac:dyDescent="0.25">
      <c r="A24" s="146" t="s">
        <v>135</v>
      </c>
      <c r="E24" s="146"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Fuel Blending</vt:lpstr>
      <vt:lpstr>EtOH and BD inputs</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Intensities of Blended Fuels for Substitute Pathways, November 17, 2022</dc:title>
  <dc:subject>clean fuel standard, CFS, 173-42</dc:subject>
  <dc:creator>Dererie, Debebe (ECY)</dc:creator>
  <cp:keywords>clean fuel standard, CFS, 173-42</cp:keywords>
  <cp:lastModifiedBy>Duerr, Miriam (ECY)</cp:lastModifiedBy>
  <cp:lastPrinted>2013-08-05T17:53:32Z</cp:lastPrinted>
  <dcterms:created xsi:type="dcterms:W3CDTF">2012-06-14T18:26:41Z</dcterms:created>
  <dcterms:modified xsi:type="dcterms:W3CDTF">2022-11-28T07:16:09Z</dcterms:modified>
</cp:coreProperties>
</file>