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stateofwa-my.sharepoint.com/personal/swat461_ecy_wa_gov/Documents/Documents/Washington/HB 2311 - State Agency GHG Reporting/Agency Calculators, Data and Reporting/2022 SA Reports/Calculator/"/>
    </mc:Choice>
  </mc:AlternateContent>
  <xr:revisionPtr revIDLastSave="0" documentId="8_{6EA63769-8926-4CF7-BF19-7DDD1DCA6421}" xr6:coauthVersionLast="47" xr6:coauthVersionMax="47" xr10:uidLastSave="{00000000-0000-0000-0000-000000000000}"/>
  <bookViews>
    <workbookView xWindow="-108" yWindow="-108" windowWidth="23256" windowHeight="12576" activeTab="1" xr2:uid="{5029456A-DE0B-42B4-8C15-F37670D1E29D}"/>
  </bookViews>
  <sheets>
    <sheet name="Instructions" sheetId="1" r:id="rId1"/>
    <sheet name="Report" sheetId="2" r:id="rId2"/>
    <sheet name="Reference" sheetId="3" r:id="rId3"/>
    <sheet name="Emission Reduction Estimates" sheetId="4" r:id="rId4"/>
    <sheet name="Historic data and limits" sheetId="7" r:id="rId5"/>
  </sheets>
  <externalReferences>
    <externalReference r:id="rId6"/>
  </externalReferences>
  <definedNames>
    <definedName name="_xlnm._FilterDatabase" localSheetId="4" hidden="1">'Historic data and limits'!$A$2:$W$27</definedName>
    <definedName name="A__WA_State_Avg_Retail_Electricity__kWh" localSheetId="4">#REF!</definedName>
    <definedName name="A__WA_State_Avg_Retail_Electricity__kWh">Report!$B$27</definedName>
    <definedName name="AvGas_used" localSheetId="4">#REF!</definedName>
    <definedName name="AvGas_used">Report!$B$73</definedName>
    <definedName name="B100_CH4_MT_gal" localSheetId="4">#REF!</definedName>
    <definedName name="B100_CH4_MT_gal">Reference!$F$43</definedName>
    <definedName name="B100_CO2_MT_gal" localSheetId="4">[1]Reference!$D$43</definedName>
    <definedName name="B100_CO2_MT_gal">Reference!$D$43</definedName>
    <definedName name="B100_N2O_MT_gal" localSheetId="4">#REF!</definedName>
    <definedName name="B100_N2O_MT_gal">Reference!$H$43</definedName>
    <definedName name="BlgDiesel__gals_used" localSheetId="4">#REF!</definedName>
    <definedName name="BlgDiesel__gals_used">Report!$B$40</definedName>
    <definedName name="BlgFuelOil__gals_used" localSheetId="4">#REF!</definedName>
    <definedName name="BlgFuelOil__gals_used">Report!$B$42</definedName>
    <definedName name="BlgGasoline__gals_used" localSheetId="4">#REF!</definedName>
    <definedName name="BlgGasoline__gals_used">Report!$B$43</definedName>
    <definedName name="BlgNG__therms_used" localSheetId="4">#REF!</definedName>
    <definedName name="BlgNG__therms_used">Report!$B$39</definedName>
    <definedName name="BlgPropane__gals_used" localSheetId="4">#REF!</definedName>
    <definedName name="BlgPropane__gals_used">Report!$B$41</definedName>
    <definedName name="CH4_EF_kg_MWh">#REF!</definedName>
    <definedName name="Diesel_MTCH4_gal" localSheetId="4">[1]Reference!$F$19</definedName>
    <definedName name="Diesel_MTCH4_gal">Reference!$F$19</definedName>
    <definedName name="Diesel_MTCO2_gal" localSheetId="4">[1]Reference!$D$19</definedName>
    <definedName name="Diesel_MTCO2_gal">Reference!$D$19</definedName>
    <definedName name="Diesel_MTN2O_gal" localSheetId="4">[1]Reference!$H$19</definedName>
    <definedName name="Diesel_MTN2O_gal">Reference!$H$19</definedName>
    <definedName name="Electricity_generated___i.e._solar_photovoltaic__wind_or_other…___kWh" localSheetId="4">#REF!</definedName>
    <definedName name="Electricity_generated___i.e._solar_photovoltaic__wind_or_other…___kWh">Report!$B$34</definedName>
    <definedName name="Fleet_Diesel_Ferries_used" localSheetId="4">#REF!</definedName>
    <definedName name="Fleet_Diesel_Ferries_used">Report!$B$69</definedName>
    <definedName name="FleetAvGas_use" localSheetId="4">#REF!</definedName>
    <definedName name="FleetAvGas_use">Report!$B$73</definedName>
    <definedName name="FuelOil_MTCH4_gal" localSheetId="4">[1]Reference!$F$21</definedName>
    <definedName name="FuelOil_MTCH4_gal">Reference!$F$21</definedName>
    <definedName name="FuelOil_MTCO2_gal" localSheetId="4">[1]Reference!$D$21</definedName>
    <definedName name="FuelOil_MTCO2_gal">Reference!$D$21</definedName>
    <definedName name="FuelOil_MTN2O_gal" localSheetId="4">[1]Reference!$H$21</definedName>
    <definedName name="FuelOil_MTN2O_gal">Reference!$H$21</definedName>
    <definedName name="Gasoline_MTCO2_gal" localSheetId="4">[1]Reference!$D$22</definedName>
    <definedName name="Gasoline_MTCO2_gal">Reference!$D$22</definedName>
    <definedName name="Gasoline_MTN2O_gal" localSheetId="4">[1]Reference!$H$22</definedName>
    <definedName name="Gasoline_MTN2O_gal">Reference!$H$22</definedName>
    <definedName name="Gasonline_MTCH4_gal" localSheetId="4">[1]Reference!$F$22</definedName>
    <definedName name="Gasonline_MTCH4_gal">Reference!$F$22</definedName>
    <definedName name="GWP_CH4" localSheetId="4">[1]Reference!$B$51</definedName>
    <definedName name="GWP_CH4">Reference!$B$51</definedName>
    <definedName name="GWP_N2O" localSheetId="4">[1]Reference!$B$52</definedName>
    <definedName name="GWP_N2O">Reference!$B$52</definedName>
    <definedName name="kBTUperkWh" localSheetId="4">[1]Reference!$A$9</definedName>
    <definedName name="kBTUperkWh">Reference!$A$9</definedName>
    <definedName name="MMBtu_per_klb" localSheetId="4">[1]Reference!$A$10</definedName>
    <definedName name="MMBtu_per_klb">Reference!$A$10</definedName>
    <definedName name="MVDieselBulk_gals_used" localSheetId="4">#REF!</definedName>
    <definedName name="MVDieselBulk_gals_used">Report!$B$61</definedName>
    <definedName name="MVDieselRetail_gals_used" localSheetId="4">#REF!</definedName>
    <definedName name="MVDieselRetail_gals_used">Report!$B$59</definedName>
    <definedName name="MVDieselWSDOT_gals_used" localSheetId="4">#REF!</definedName>
    <definedName name="MVDieselWSDOT_gals_used">Report!$B$60</definedName>
    <definedName name="MVGasoline_gas_used" localSheetId="4">#REF!</definedName>
    <definedName name="MVGasoline_gas_used">Report!$B$58</definedName>
    <definedName name="MVPropane_gals_used" localSheetId="4">#REF!</definedName>
    <definedName name="MVPropane_gals_used">Report!$B$62</definedName>
    <definedName name="N2O_EF_kg_MWh">#REF!</definedName>
    <definedName name="NG_MTCH4_therm" localSheetId="4">[1]Reference!$F$15</definedName>
    <definedName name="NG_MTCH4_therm">Reference!$F$15</definedName>
    <definedName name="NG_MTCO2_therm" localSheetId="4">[1]Reference!$D$15</definedName>
    <definedName name="NG_MTCO2_therm">Reference!$D$15</definedName>
    <definedName name="NG_MTN2O_therms" localSheetId="4">[1]Reference!$H$15</definedName>
    <definedName name="NG_MTN2O_therms">Reference!$H$15</definedName>
    <definedName name="Propane_MTCH4_gal" localSheetId="4">[1]Reference!$F$20</definedName>
    <definedName name="Propane_MTCH4_gal">Reference!$F$20</definedName>
    <definedName name="Propane_MTCO2_gal" localSheetId="4">[1]Reference!$D$20</definedName>
    <definedName name="Propane_MTCO2_gal">Reference!$D$20</definedName>
    <definedName name="Propane_MTN2O_gal" localSheetId="4">[1]Reference!$H$20</definedName>
    <definedName name="Propane_MTN2O_gal">Reference!$H$20</definedName>
    <definedName name="Purchased_electricity___WA_Avg_CO2EF" localSheetId="4">[1]Reference!$C$27</definedName>
    <definedName name="Purchased_electricity___WA_Avg_CO2EF">Reference!$C$27</definedName>
    <definedName name="Purchased_electricity_from_green_contract__kWh" localSheetId="4">#REF!</definedName>
    <definedName name="Purchased_electricity_from_green_contract__kWh">Report!$B$31</definedName>
    <definedName name="Purchased_Steam__klbs" localSheetId="4">#REF!</definedName>
    <definedName name="Purchased_Steam__klbs">Report!$B$49</definedName>
    <definedName name="Renewable_thermal_heating_cooling" localSheetId="4">#REF!</definedName>
    <definedName name="Renewable_thermal_heating_cooling">Report!$B$46</definedName>
    <definedName name="Total_conditioned_space__sq._ft." localSheetId="4">#REF!</definedName>
    <definedName name="Total_conditioned_space__sq._ft.">Report!$B$21</definedName>
    <definedName name="WA_Elect_MT_CO2_kWh" localSheetId="4">[1]Reference!$D$27</definedName>
    <definedName name="WA_Elect_MT_CO2_kWh">Reference!$D$27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2" i="2" l="1"/>
  <c r="D15" i="3"/>
  <c r="L39" i="3"/>
  <c r="K39" i="3"/>
  <c r="N38" i="3"/>
  <c r="M38" i="3"/>
  <c r="N37" i="3"/>
  <c r="M37" i="3"/>
  <c r="N36" i="3"/>
  <c r="M36" i="3"/>
  <c r="M39" i="3" l="1"/>
  <c r="E27" i="3" s="1"/>
  <c r="N39" i="3"/>
  <c r="G27" i="3" s="1"/>
  <c r="G26" i="4" l="1"/>
  <c r="F26" i="4"/>
  <c r="G36" i="4"/>
  <c r="G34" i="4"/>
  <c r="F36" i="4"/>
  <c r="F34" i="4"/>
  <c r="G32" i="4"/>
  <c r="F32" i="4"/>
  <c r="G24" i="4"/>
  <c r="F24" i="4"/>
  <c r="H36" i="4" l="1"/>
  <c r="H34" i="4"/>
  <c r="H32" i="4"/>
  <c r="H26" i="4"/>
  <c r="H24" i="4"/>
  <c r="C102" i="2" l="1"/>
  <c r="B102" i="2"/>
  <c r="H121" i="2"/>
  <c r="H119" i="2"/>
  <c r="I122" i="2"/>
  <c r="H122" i="2"/>
  <c r="C122" i="2" s="1"/>
  <c r="I121" i="2"/>
  <c r="I119" i="2"/>
  <c r="G119" i="2" s="1"/>
  <c r="I117" i="2"/>
  <c r="G117" i="2" s="1"/>
  <c r="H117" i="2"/>
  <c r="F117" i="2" s="1"/>
  <c r="I116" i="2"/>
  <c r="G116" i="2" s="1"/>
  <c r="H116" i="2"/>
  <c r="C116" i="2" s="1"/>
  <c r="H110" i="2"/>
  <c r="D110" i="2" s="1"/>
  <c r="H114" i="2"/>
  <c r="C114" i="2" s="1"/>
  <c r="H113" i="2"/>
  <c r="D113" i="2" s="1"/>
  <c r="H112" i="2"/>
  <c r="D112" i="2" s="1"/>
  <c r="H111" i="2"/>
  <c r="F111" i="2" s="1"/>
  <c r="I114" i="2"/>
  <c r="I113" i="2"/>
  <c r="G113" i="2" s="1"/>
  <c r="I112" i="2"/>
  <c r="I111" i="2"/>
  <c r="G111" i="2" s="1"/>
  <c r="I110" i="2"/>
  <c r="G110" i="2" s="1"/>
  <c r="C119" i="2" l="1"/>
  <c r="C121" i="2"/>
  <c r="F114" i="2"/>
  <c r="D114" i="2"/>
  <c r="F116" i="2"/>
  <c r="D116" i="2"/>
  <c r="D117" i="2"/>
  <c r="C111" i="2"/>
  <c r="E102" i="2"/>
  <c r="C113" i="2"/>
  <c r="F113" i="2"/>
  <c r="C112" i="2"/>
  <c r="F112" i="2"/>
  <c r="D111" i="2"/>
  <c r="C110" i="2"/>
  <c r="F110" i="2"/>
  <c r="B110" i="2" s="1"/>
  <c r="F121" i="2"/>
  <c r="B121" i="2" s="1"/>
  <c r="D121" i="2"/>
  <c r="F119" i="2"/>
  <c r="B119" i="2" s="1"/>
  <c r="D119" i="2"/>
  <c r="F122" i="2"/>
  <c r="B122" i="2" s="1"/>
  <c r="D122" i="2"/>
  <c r="C117" i="2"/>
  <c r="B116" i="2"/>
  <c r="B117" i="2"/>
  <c r="E110" i="2" l="1"/>
  <c r="E122" i="2"/>
  <c r="E121" i="2"/>
  <c r="E116" i="2"/>
  <c r="E119" i="2"/>
  <c r="E117" i="2"/>
  <c r="B114" i="2" l="1"/>
  <c r="G112" i="2"/>
  <c r="B113" i="2" l="1"/>
  <c r="B111" i="2"/>
  <c r="B112" i="2"/>
  <c r="E113" i="2" l="1"/>
  <c r="E114" i="2"/>
  <c r="E112" i="2"/>
  <c r="E111" i="2"/>
  <c r="E65" i="4"/>
  <c r="F65" i="4" s="1"/>
  <c r="D65" i="4"/>
  <c r="C65" i="4"/>
  <c r="C62" i="4"/>
  <c r="E62" i="4"/>
  <c r="D61" i="4"/>
  <c r="C61" i="4"/>
  <c r="E61" i="4"/>
  <c r="F61" i="4" s="1"/>
  <c r="D60" i="4"/>
  <c r="F60" i="4" s="1"/>
  <c r="C60" i="4"/>
  <c r="E60" i="4"/>
  <c r="D59" i="4"/>
  <c r="C59" i="4"/>
  <c r="E59" i="4"/>
  <c r="F59" i="4" s="1"/>
  <c r="E58" i="4"/>
  <c r="D58" i="4"/>
  <c r="C58" i="4"/>
  <c r="C57" i="4"/>
  <c r="E57" i="4"/>
  <c r="C53" i="4"/>
  <c r="E53" i="4"/>
  <c r="K50" i="4"/>
  <c r="L50" i="4" s="1"/>
  <c r="M50" i="4" s="1"/>
  <c r="N50" i="4" s="1"/>
  <c r="O50" i="4" s="1"/>
  <c r="P50" i="4" s="1"/>
  <c r="Q50" i="4" s="1"/>
  <c r="R50" i="4" s="1"/>
  <c r="S50" i="4" s="1"/>
  <c r="T50" i="4" s="1"/>
  <c r="E50" i="4"/>
  <c r="D50" i="4"/>
  <c r="C50" i="4"/>
  <c r="K24" i="4"/>
  <c r="L24" i="4" s="1"/>
  <c r="M24" i="4" s="1"/>
  <c r="N24" i="4" s="1"/>
  <c r="O24" i="4" s="1"/>
  <c r="P24" i="4" s="1"/>
  <c r="Q24" i="4" s="1"/>
  <c r="R24" i="4" s="1"/>
  <c r="S24" i="4" s="1"/>
  <c r="T24" i="4" s="1"/>
  <c r="G95" i="3"/>
  <c r="G46" i="3"/>
  <c r="H46" i="3" s="1"/>
  <c r="E46" i="3"/>
  <c r="F46" i="3" s="1"/>
  <c r="D46" i="3"/>
  <c r="G45" i="3"/>
  <c r="H45" i="3" s="1"/>
  <c r="F45" i="3"/>
  <c r="E45" i="3"/>
  <c r="D45" i="3"/>
  <c r="G44" i="3"/>
  <c r="H44" i="3" s="1"/>
  <c r="E44" i="3"/>
  <c r="F44" i="3" s="1"/>
  <c r="D44" i="3"/>
  <c r="H43" i="3"/>
  <c r="G43" i="3"/>
  <c r="E43" i="3"/>
  <c r="F43" i="3" s="1"/>
  <c r="D43" i="3"/>
  <c r="G42" i="3"/>
  <c r="H42" i="3" s="1"/>
  <c r="E42" i="3"/>
  <c r="F42" i="3" s="1"/>
  <c r="D42" i="3"/>
  <c r="G41" i="3"/>
  <c r="H41" i="3" s="1"/>
  <c r="E41" i="3"/>
  <c r="F41" i="3" s="1"/>
  <c r="D41" i="3"/>
  <c r="G40" i="3"/>
  <c r="H40" i="3" s="1"/>
  <c r="E40" i="3"/>
  <c r="F40" i="3" s="1"/>
  <c r="D40" i="3"/>
  <c r="G32" i="3"/>
  <c r="H32" i="3" s="1"/>
  <c r="E32" i="3"/>
  <c r="F32" i="3" s="1"/>
  <c r="D32" i="3"/>
  <c r="H27" i="3"/>
  <c r="D101" i="2" s="1"/>
  <c r="F27" i="3"/>
  <c r="C101" i="2" s="1"/>
  <c r="D27" i="3"/>
  <c r="G22" i="3"/>
  <c r="H22" i="3" s="1"/>
  <c r="D99" i="2" s="1"/>
  <c r="F22" i="3"/>
  <c r="E22" i="3"/>
  <c r="D22" i="3"/>
  <c r="B99" i="2" s="1"/>
  <c r="G21" i="3"/>
  <c r="H21" i="3" s="1"/>
  <c r="D98" i="2" s="1"/>
  <c r="F21" i="3"/>
  <c r="C98" i="2" s="1"/>
  <c r="E21" i="3"/>
  <c r="D21" i="3"/>
  <c r="H20" i="3"/>
  <c r="G20" i="3"/>
  <c r="F20" i="3"/>
  <c r="C97" i="2" s="1"/>
  <c r="E20" i="3"/>
  <c r="D20" i="3"/>
  <c r="H19" i="3"/>
  <c r="D96" i="2" s="1"/>
  <c r="G19" i="3"/>
  <c r="E19" i="3"/>
  <c r="F19" i="3" s="1"/>
  <c r="C96" i="2" s="1"/>
  <c r="D19" i="3"/>
  <c r="H15" i="3"/>
  <c r="G15" i="3"/>
  <c r="E15" i="3"/>
  <c r="F15" i="3" s="1"/>
  <c r="C95" i="2" s="1"/>
  <c r="C99" i="2"/>
  <c r="B98" i="2"/>
  <c r="D97" i="2"/>
  <c r="B97" i="2"/>
  <c r="B96" i="2"/>
  <c r="D95" i="2"/>
  <c r="B95" i="2"/>
  <c r="B21" i="2"/>
  <c r="C18" i="2" s="1"/>
  <c r="C20" i="2"/>
  <c r="C19" i="2"/>
  <c r="C17" i="2" l="1"/>
  <c r="F33" i="4"/>
  <c r="H33" i="4" s="1"/>
  <c r="G33" i="4"/>
  <c r="F35" i="4"/>
  <c r="H35" i="4" s="1"/>
  <c r="G35" i="4"/>
  <c r="G30" i="4"/>
  <c r="F30" i="4"/>
  <c r="H30" i="4" s="1"/>
  <c r="F28" i="4"/>
  <c r="G28" i="4"/>
  <c r="G38" i="4" s="1"/>
  <c r="B101" i="2"/>
  <c r="E101" i="2" s="1"/>
  <c r="F58" i="4"/>
  <c r="E67" i="4"/>
  <c r="Q52" i="4" s="1"/>
  <c r="H123" i="2"/>
  <c r="C104" i="2"/>
  <c r="I123" i="2"/>
  <c r="K52" i="4"/>
  <c r="R52" i="4"/>
  <c r="M52" i="4"/>
  <c r="F50" i="4"/>
  <c r="D57" i="4"/>
  <c r="F57" i="4" s="1"/>
  <c r="D53" i="4"/>
  <c r="F53" i="4" s="1"/>
  <c r="D62" i="4"/>
  <c r="F62" i="4" s="1"/>
  <c r="E97" i="2"/>
  <c r="E98" i="2"/>
  <c r="D104" i="2"/>
  <c r="E96" i="2"/>
  <c r="E99" i="2"/>
  <c r="E95" i="2"/>
  <c r="D123" i="2"/>
  <c r="G123" i="2"/>
  <c r="B104" i="2" l="1"/>
  <c r="H28" i="4"/>
  <c r="H38" i="4" s="1"/>
  <c r="K27" i="4" s="1"/>
  <c r="L27" i="4" s="1"/>
  <c r="M27" i="4" s="1"/>
  <c r="N27" i="4" s="1"/>
  <c r="O27" i="4" s="1"/>
  <c r="P27" i="4" s="1"/>
  <c r="Q27" i="4" s="1"/>
  <c r="R27" i="4" s="1"/>
  <c r="S27" i="4" s="1"/>
  <c r="T27" i="4" s="1"/>
  <c r="H39" i="4" s="1"/>
  <c r="F38" i="4"/>
  <c r="N52" i="4"/>
  <c r="O52" i="4"/>
  <c r="P52" i="4"/>
  <c r="L52" i="4"/>
  <c r="S52" i="4"/>
  <c r="T52" i="4"/>
  <c r="Q26" i="4"/>
  <c r="P26" i="4"/>
  <c r="O26" i="4"/>
  <c r="N26" i="4"/>
  <c r="S26" i="4"/>
  <c r="M26" i="4"/>
  <c r="T26" i="4"/>
  <c r="L26" i="4"/>
  <c r="K26" i="4"/>
  <c r="R26" i="4"/>
  <c r="D67" i="4"/>
  <c r="F67" i="4"/>
  <c r="K53" i="4" s="1"/>
  <c r="F123" i="2"/>
  <c r="E104" i="2"/>
  <c r="F94" i="2" s="1"/>
  <c r="C123" i="2"/>
  <c r="P25" i="4" l="1"/>
  <c r="L25" i="4"/>
  <c r="O25" i="4"/>
  <c r="S25" i="4"/>
  <c r="T25" i="4"/>
  <c r="K25" i="4"/>
  <c r="N25" i="4"/>
  <c r="R25" i="4"/>
  <c r="M25" i="4"/>
  <c r="Q25" i="4"/>
  <c r="B86" i="2"/>
  <c r="F100" i="2"/>
  <c r="J109" i="2"/>
  <c r="J120" i="2"/>
  <c r="L53" i="4"/>
  <c r="M53" i="4"/>
  <c r="N53" i="4" s="1"/>
  <c r="O53" i="4" s="1"/>
  <c r="P53" i="4" s="1"/>
  <c r="Q53" i="4" s="1"/>
  <c r="R53" i="4" s="1"/>
  <c r="S53" i="4" s="1"/>
  <c r="T53" i="4" s="1"/>
  <c r="F68" i="4" s="1"/>
  <c r="M51" i="4"/>
  <c r="T51" i="4"/>
  <c r="L51" i="4"/>
  <c r="S51" i="4"/>
  <c r="K51" i="4"/>
  <c r="R51" i="4"/>
  <c r="Q51" i="4"/>
  <c r="O51" i="4"/>
  <c r="P51" i="4"/>
  <c r="N51" i="4"/>
  <c r="E123" i="2"/>
  <c r="B123" i="2"/>
  <c r="B87" i="2" l="1"/>
  <c r="B88" i="2" s="1"/>
  <c r="J118" i="2"/>
  <c r="J115" i="2"/>
  <c r="D87" i="2" l="1"/>
  <c r="D8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Waterman-Hoey, Stacey (ECY)</author>
  </authors>
  <commentList>
    <comment ref="A10" authorId="0" shapeId="0" xr:uid="{44CCE0F7-9B7A-4027-A562-CA02D20FDE66}">
      <text>
        <r>
          <rPr>
            <b/>
            <sz val="9"/>
            <color indexed="81"/>
            <rFont val="Tahoma"/>
            <family val="2"/>
          </rPr>
          <t>Waterman-Hoey, Stacey (ECY):</t>
        </r>
        <r>
          <rPr>
            <sz val="9"/>
            <color indexed="81"/>
            <rFont val="Tahoma"/>
            <family val="2"/>
          </rPr>
          <t xml:space="preserve">
SEEP Agencies: this is your SEEP Governing Council member. 
Non-SEEP agencies: enter your agency executive leadership member who reviewed and approved this report.  </t>
        </r>
      </text>
    </comment>
    <comment ref="A16" authorId="0" shapeId="0" xr:uid="{30F83B49-D0B3-4C82-ABA6-3CA5E842099F}">
      <text>
        <r>
          <rPr>
            <b/>
            <sz val="9"/>
            <color indexed="81"/>
            <rFont val="Tahoma"/>
            <family val="2"/>
          </rPr>
          <t>Waterman-Hoey, Stacey (ECY):</t>
        </r>
        <r>
          <rPr>
            <sz val="9"/>
            <color indexed="81"/>
            <rFont val="Tahoma"/>
            <family val="2"/>
          </rPr>
          <t xml:space="preserve">
Source for this data: OFM Facilities Inventory System
https://ofm.wa.gov/facilities/facilities-inventory</t>
        </r>
      </text>
    </comment>
    <comment ref="D25" authorId="0" shapeId="0" xr:uid="{BD2B01D7-2D23-4A8A-8F1B-0B81937FB646}">
      <text>
        <r>
          <rPr>
            <b/>
            <sz val="9"/>
            <color indexed="81"/>
            <rFont val="Tahoma"/>
            <family val="2"/>
          </rPr>
          <t>Waterman-Hoey, Stacey (ECY):</t>
        </r>
        <r>
          <rPr>
            <sz val="9"/>
            <color indexed="81"/>
            <rFont val="Tahoma"/>
            <family val="2"/>
          </rPr>
          <t xml:space="preserve">
Net-metering is an arrangement with a local utility to purchase excess generation from a power source. This is often used in a facility with an on-site solar installations. Any electricity not used by the facility at any moment can go back onto the grid and be purchased by the local utility.  </t>
        </r>
        <r>
          <rPr>
            <b/>
            <sz val="9"/>
            <color indexed="81"/>
            <rFont val="Tahoma"/>
            <family val="2"/>
          </rPr>
          <t xml:space="preserve">Electricity </t>
        </r>
        <r>
          <rPr>
            <b/>
            <u/>
            <sz val="9"/>
            <color indexed="81"/>
            <rFont val="Tahoma"/>
            <family val="2"/>
          </rPr>
          <t>not</t>
        </r>
        <r>
          <rPr>
            <b/>
            <sz val="9"/>
            <color indexed="81"/>
            <rFont val="Tahoma"/>
            <family val="2"/>
          </rPr>
          <t xml:space="preserve"> used by the facility and sold back to the grid is not included in the agency's emissions calculator. </t>
        </r>
        <r>
          <rPr>
            <sz val="9"/>
            <color indexed="81"/>
            <rFont val="Tahoma"/>
            <family val="2"/>
          </rPr>
          <t xml:space="preserve">Additionally, RECs are not recorded anywhere in this calculator, regardless of whether they are from on-site generation or purchased. However, we are interested to track </t>
        </r>
        <r>
          <rPr>
            <b/>
            <sz val="9"/>
            <color indexed="81"/>
            <rFont val="Tahoma"/>
            <family val="2"/>
          </rPr>
          <t>surplus</t>
        </r>
        <r>
          <rPr>
            <sz val="9"/>
            <color indexed="81"/>
            <rFont val="Tahoma"/>
            <family val="2"/>
          </rPr>
          <t xml:space="preserve"> renewable generation sold back to the utility with RECs intact and have included an option to record that quantity here. Agencies will need to confirm with their utility that the utility is also not claiming RECs for this power. (If they are, they should be paying you!) 
 </t>
        </r>
        <r>
          <rPr>
            <sz val="9"/>
            <color indexed="10"/>
            <rFont val="Tahoma"/>
            <family val="2"/>
          </rPr>
          <t xml:space="preserve">
</t>
        </r>
        <r>
          <rPr>
            <b/>
            <sz val="9"/>
            <color indexed="10"/>
            <rFont val="Tahoma"/>
            <family val="2"/>
          </rPr>
          <t>For reporting in this calculator:</t>
        </r>
        <r>
          <rPr>
            <sz val="9"/>
            <color indexed="81"/>
            <rFont val="Tahoma"/>
            <family val="2"/>
          </rPr>
          <t xml:space="preserve">
    </t>
        </r>
        <r>
          <rPr>
            <b/>
            <sz val="9"/>
            <color indexed="81"/>
            <rFont val="Tahoma"/>
            <family val="2"/>
          </rPr>
          <t xml:space="preserve">&gt; Generation consumed on site </t>
        </r>
        <r>
          <rPr>
            <b/>
            <u/>
            <sz val="9"/>
            <color indexed="81"/>
            <rFont val="Tahoma"/>
            <family val="2"/>
          </rPr>
          <t>with</t>
        </r>
        <r>
          <rPr>
            <b/>
            <sz val="9"/>
            <color indexed="81"/>
            <rFont val="Tahoma"/>
            <family val="2"/>
          </rPr>
          <t xml:space="preserve"> RECs intact </t>
        </r>
        <r>
          <rPr>
            <sz val="9"/>
            <color indexed="81"/>
            <rFont val="Tahoma"/>
            <family val="2"/>
          </rPr>
          <t xml:space="preserve">= Report kwhs in calculator as renewable electricity production. 
    </t>
        </r>
        <r>
          <rPr>
            <b/>
            <sz val="9"/>
            <color indexed="81"/>
            <rFont val="Tahoma"/>
            <family val="2"/>
          </rPr>
          <t xml:space="preserve">&gt; Generation consumed on site </t>
        </r>
        <r>
          <rPr>
            <b/>
            <u/>
            <sz val="9"/>
            <color indexed="81"/>
            <rFont val="Tahoma"/>
            <family val="2"/>
          </rPr>
          <t>without</t>
        </r>
        <r>
          <rPr>
            <b/>
            <sz val="9"/>
            <color indexed="81"/>
            <rFont val="Tahoma"/>
            <family val="2"/>
          </rPr>
          <t xml:space="preserve"> RECs </t>
        </r>
        <r>
          <rPr>
            <sz val="9"/>
            <color indexed="81"/>
            <rFont val="Tahoma"/>
            <family val="2"/>
          </rPr>
          <t xml:space="preserve">= Report kwhs in calculator by adding to standard utility retail purchases. This generation will be assigned the WA state average emission factor. Selling RECs means selling the rights to claiming the renewable attributes to this electricity.
     </t>
        </r>
        <r>
          <rPr>
            <b/>
            <sz val="9"/>
            <color indexed="81"/>
            <rFont val="Tahoma"/>
            <family val="2"/>
          </rPr>
          <t xml:space="preserve">&gt; Surplus renewable generation sold back to the utility with </t>
        </r>
        <r>
          <rPr>
            <b/>
            <u/>
            <sz val="9"/>
            <color indexed="81"/>
            <rFont val="Tahoma"/>
            <family val="2"/>
          </rPr>
          <t>the agency retaining all environmental attributes (meaning the agency is not selling RECs AND the utility is not claiming RECs)</t>
        </r>
        <r>
          <rPr>
            <sz val="9"/>
            <color indexed="81"/>
            <rFont val="Tahoma"/>
            <family val="2"/>
          </rPr>
          <t xml:space="preserve"> = record kwh in </t>
        </r>
        <r>
          <rPr>
            <b/>
            <sz val="9"/>
            <color indexed="10"/>
            <rFont val="Tahoma"/>
            <family val="2"/>
          </rPr>
          <t>cell E25.</t>
        </r>
        <r>
          <rPr>
            <sz val="9"/>
            <color indexed="81"/>
            <rFont val="Tahoma"/>
            <family val="2"/>
          </rPr>
          <t xml:space="preserve"> Note, this data is for informational purposes only and not required for GHG reporting. Renewable generation sold back to the utility where the utility claims the RECS is no longer considered renewable and not recorded here.
</t>
        </r>
      </text>
    </comment>
    <comment ref="A29" authorId="0" shapeId="0" xr:uid="{73F23FF5-7CD3-4C3F-BD6F-2F13B0BBB258}">
      <text>
        <r>
          <rPr>
            <b/>
            <sz val="9"/>
            <color indexed="81"/>
            <rFont val="Tahoma"/>
            <family val="2"/>
          </rPr>
          <t>Waterman-Hoey, Stacey (ECY):</t>
        </r>
        <r>
          <rPr>
            <sz val="9"/>
            <color indexed="81"/>
            <rFont val="Tahoma"/>
            <family val="2"/>
          </rPr>
          <t xml:space="preserve">
Agency must have an actual power contract, not REC purchase.</t>
        </r>
      </text>
    </comment>
    <comment ref="A33" authorId="0" shapeId="0" xr:uid="{2F3535D4-6553-4E2D-89BA-80FD26D5A1F5}">
      <text>
        <r>
          <rPr>
            <b/>
            <sz val="9"/>
            <color indexed="81"/>
            <rFont val="Tahoma"/>
            <family val="2"/>
          </rPr>
          <t>Waterman-Hoey, Stacey (ECY):</t>
        </r>
        <r>
          <rPr>
            <sz val="9"/>
            <color indexed="81"/>
            <rFont val="Tahoma"/>
            <family val="2"/>
          </rPr>
          <t xml:space="preserve">
If the agency sells the RECS (renewable energy credits) from self-generated electricity, it may not report this electricity as renewable. This electricity is added to Standard Utility Retail Electricity. Electricity from a community solar program may not be reported as renewable if the utility retains the RECs for its own use. To be reported as Renewable, RECs must remain intact. See additional notes in cell D25 about surplus net-metered renewable generation.
</t>
        </r>
        <r>
          <rPr>
            <b/>
            <sz val="9"/>
            <color indexed="81"/>
            <rFont val="Tahoma"/>
            <family val="2"/>
          </rPr>
          <t>Definition of Renewable Resources (RCW 19.285.030)</t>
        </r>
        <r>
          <rPr>
            <sz val="9"/>
            <color indexed="81"/>
            <rFont val="Tahoma"/>
            <family val="2"/>
          </rPr>
          <t xml:space="preserve">
"Renewable resource" means: (a) Water; (b) wind; (c) solar energy; (d) geothermal energy; (e) landfill gas; (f) wave, ocean, or tidal power; (g) gas from sewage treatment facilities; (h) biodiesel fuel that is not derived from crops raised on land cleared from old growth or first-growth forests where the clearing occurred after December 7, 2006; or (i) biomass energy.</t>
        </r>
      </text>
    </comment>
    <comment ref="A37" authorId="0" shapeId="0" xr:uid="{D69FAEFD-D3C4-4D40-B607-727BD18F3A70}">
      <text>
        <r>
          <rPr>
            <b/>
            <sz val="9"/>
            <color indexed="81"/>
            <rFont val="Tahoma"/>
            <family val="2"/>
          </rPr>
          <t>Waterman-Hoey, Stacey (ECY):</t>
        </r>
        <r>
          <rPr>
            <sz val="9"/>
            <color indexed="81"/>
            <rFont val="Tahoma"/>
            <family val="2"/>
          </rPr>
          <t xml:space="preserve">
For example, from boilers, furnaces, generators or any other on-site combustion from non-mobile sources.</t>
        </r>
      </text>
    </comment>
    <comment ref="C57" authorId="0" shapeId="0" xr:uid="{427F0219-D91D-43CE-9A32-AC4B3D2DB12E}">
      <text>
        <r>
          <rPr>
            <b/>
            <sz val="9"/>
            <color indexed="81"/>
            <rFont val="Tahoma"/>
            <family val="2"/>
          </rPr>
          <t>Waterman-Hoey, Stacey (ECY):</t>
        </r>
        <r>
          <rPr>
            <sz val="9"/>
            <color indexed="81"/>
            <rFont val="Tahoma"/>
            <family val="2"/>
          </rPr>
          <t xml:space="preserve">
Modify if you know the % biofuel for your agency.
Biogenic emissions are included in subtotals but excluded from total.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Bruns, Emily (ECY)</author>
    <author>Waterman-Hoey, Stacey (ECY)</author>
  </authors>
  <commentList>
    <comment ref="B10" authorId="0" shapeId="0" xr:uid="{F33E4E3C-8DC3-4AAA-8B67-22708F17652F}">
      <text>
        <r>
          <rPr>
            <b/>
            <sz val="9"/>
            <color rgb="FF000000"/>
            <rFont val="Tahoma"/>
            <family val="2"/>
          </rPr>
          <t>Bruns, Emily (ECY):</t>
        </r>
        <r>
          <rPr>
            <sz val="9"/>
            <color rgb="FF000000"/>
            <rFont val="Tahoma"/>
            <family val="2"/>
          </rPr>
          <t xml:space="preserve">
Source: EPA Energy Star Program</t>
        </r>
      </text>
    </comment>
    <comment ref="C15" authorId="1" shapeId="0" xr:uid="{ABD7D9ED-F3C5-4F88-B634-DC840BD7A6BD}">
      <text>
        <r>
          <rPr>
            <b/>
            <sz val="9"/>
            <color indexed="81"/>
            <rFont val="Tahoma"/>
            <family val="2"/>
          </rPr>
          <t>Waterman-Hoey, Stacey (ECY):</t>
        </r>
        <r>
          <rPr>
            <sz val="9"/>
            <color indexed="81"/>
            <rFont val="Tahoma"/>
            <family val="2"/>
          </rPr>
          <t xml:space="preserve">
https://www.eia.gov/environment/emissions/co2_vol_mass.php</t>
        </r>
      </text>
    </comment>
    <comment ref="E15" authorId="1" shapeId="0" xr:uid="{70CBF89A-48AA-412A-9016-318E8A92FC07}">
      <text>
        <r>
          <rPr>
            <b/>
            <sz val="9"/>
            <color indexed="81"/>
            <rFont val="Tahoma"/>
            <family val="2"/>
          </rPr>
          <t>Waterman-Hoey, Stacey (ECY):</t>
        </r>
        <r>
          <rPr>
            <sz val="9"/>
            <color indexed="81"/>
            <rFont val="Tahoma"/>
            <family val="2"/>
          </rPr>
          <t xml:space="preserve">
https://www.epa.gov/sites/default/files/2015-07/documents/emission-factors_2014.pdf</t>
        </r>
      </text>
    </comment>
    <comment ref="G15" authorId="1" shapeId="0" xr:uid="{7CB1C567-45BB-435E-8AF7-FA9B7E0EC10B}">
      <text>
        <r>
          <rPr>
            <b/>
            <sz val="9"/>
            <color indexed="81"/>
            <rFont val="Tahoma"/>
            <family val="2"/>
          </rPr>
          <t>Waterman-Hoey, Stacey (ECY):</t>
        </r>
        <r>
          <rPr>
            <sz val="9"/>
            <color indexed="81"/>
            <rFont val="Tahoma"/>
            <family val="2"/>
          </rPr>
          <t xml:space="preserve">
https://www.epa.gov/sites/default/files/2015-07/documents/emission-factors_2014.pdf</t>
        </r>
      </text>
    </comment>
    <comment ref="A17" authorId="1" shapeId="0" xr:uid="{7B0EBD3D-0849-4FE5-B5A2-D2547B780D50}">
      <text>
        <r>
          <rPr>
            <b/>
            <sz val="9"/>
            <color indexed="81"/>
            <rFont val="Tahoma"/>
            <family val="2"/>
          </rPr>
          <t>Waterman-Hoey, Stacey (ECY):</t>
        </r>
        <r>
          <rPr>
            <sz val="9"/>
            <color indexed="81"/>
            <rFont val="Tahoma"/>
            <family val="2"/>
          </rPr>
          <t xml:space="preserve">
This source is not updated annually: 
CO2, CH4, and N2O purchased steam EFs - EPA Emission Factors for Greenhouse Gas Inventories
https://www.epa.gov/sites/default/files/2018-03/documents/emission-factors_mar_2018_0.pdf</t>
        </r>
      </text>
    </comment>
    <comment ref="C19" authorId="1" shapeId="0" xr:uid="{14763DE8-0857-4D9D-A972-551BD24F3628}">
      <text>
        <r>
          <rPr>
            <b/>
            <sz val="9"/>
            <color indexed="81"/>
            <rFont val="Tahoma"/>
            <family val="2"/>
          </rPr>
          <t>Waterman-Hoey, Stacey (ECY):</t>
        </r>
        <r>
          <rPr>
            <sz val="9"/>
            <color indexed="81"/>
            <rFont val="Tahoma"/>
            <family val="2"/>
          </rPr>
          <t xml:space="preserve">
https://www.eia.gov/environment/emissions/co2_vol_mass.php</t>
        </r>
      </text>
    </comment>
    <comment ref="C20" authorId="1" shapeId="0" xr:uid="{67C2206F-76E3-4597-9868-567B558A2810}">
      <text>
        <r>
          <rPr>
            <b/>
            <sz val="9"/>
            <color indexed="81"/>
            <rFont val="Tahoma"/>
            <family val="2"/>
          </rPr>
          <t>Waterman-Hoey, Stacey (ECY):</t>
        </r>
        <r>
          <rPr>
            <sz val="9"/>
            <color indexed="81"/>
            <rFont val="Tahoma"/>
            <family val="2"/>
          </rPr>
          <t xml:space="preserve">
https://www.eia.gov/environment/emissions/co2_vol_mass.php</t>
        </r>
      </text>
    </comment>
    <comment ref="C21" authorId="1" shapeId="0" xr:uid="{D25A80BA-A128-45CF-B535-375734165EE0}">
      <text>
        <r>
          <rPr>
            <b/>
            <sz val="9"/>
            <color indexed="81"/>
            <rFont val="Tahoma"/>
            <family val="2"/>
          </rPr>
          <t>Waterman-Hoey, Stacey (ECY):</t>
        </r>
        <r>
          <rPr>
            <sz val="9"/>
            <color indexed="81"/>
            <rFont val="Tahoma"/>
            <family val="2"/>
          </rPr>
          <t xml:space="preserve">
https://www.eia.gov/environment/emissions/co2_vol_mass.php</t>
        </r>
      </text>
    </comment>
    <comment ref="C22" authorId="1" shapeId="0" xr:uid="{76741DD6-0C16-4224-BEBB-33CD6F6DB840}">
      <text>
        <r>
          <rPr>
            <b/>
            <sz val="9"/>
            <color indexed="81"/>
            <rFont val="Tahoma"/>
            <family val="2"/>
          </rPr>
          <t>Waterman-Hoey, Stacey (ECY):</t>
        </r>
        <r>
          <rPr>
            <sz val="9"/>
            <color indexed="81"/>
            <rFont val="Tahoma"/>
            <family val="2"/>
          </rPr>
          <t xml:space="preserve">
This figure is for motorgas w/o ethanol.
Finished Motor Gasoline includes ethanol and that figure would be 67.34.
https://www.eia.gov/environment/emissions/co2_vol_mass.php</t>
        </r>
      </text>
    </comment>
    <comment ref="A27" authorId="1" shapeId="0" xr:uid="{0CA73033-330E-403F-8AAE-6A2E44733016}">
      <text>
        <r>
          <rPr>
            <b/>
            <sz val="9"/>
            <color indexed="81"/>
            <rFont val="Tahoma"/>
            <family val="2"/>
          </rPr>
          <t>Waterman-Hoey, Stacey (ECY):</t>
        </r>
        <r>
          <rPr>
            <sz val="9"/>
            <color indexed="81"/>
            <rFont val="Tahoma"/>
            <family val="2"/>
          </rPr>
          <t xml:space="preserve">
CO2 EF based on FMD 3 yr avg WA state electricity consumption. Cell C27 is an average of 2019, 2020 and 2021 statewide average from electricity sold to end users within WA. https://www.commerce.wa.gov/growing-the-economy/energy/fuel-mix-disclosure/
CH4 and N2O are averaged from 2019, 2020 and 2021 NWPP eGRID:
https://www.epa.gov/egrid/data-explorer</t>
        </r>
      </text>
    </comment>
    <comment ref="A32" authorId="1" shapeId="0" xr:uid="{3BC4AF41-D183-4F52-81EA-72F15A0925E5}">
      <text>
        <r>
          <rPr>
            <b/>
            <sz val="9"/>
            <color indexed="81"/>
            <rFont val="Tahoma"/>
            <family val="2"/>
          </rPr>
          <t>Waterman-Hoey, Stacey (ECY):</t>
        </r>
        <r>
          <rPr>
            <sz val="9"/>
            <color indexed="81"/>
            <rFont val="Tahoma"/>
            <family val="2"/>
          </rPr>
          <t xml:space="preserve">
This source is not updated regularly: 
CO2, CH4, and N2O purchased steam EFs - EPA Emission Factors for Greenhouse Gas Inventories
https://www.epa.gov/sites/default/files/2018-03/documents/emission-factors_mar_2018_0.pdf</t>
        </r>
      </text>
    </comment>
    <comment ref="B94" authorId="1" shapeId="0" xr:uid="{27302234-64E7-4C6D-BAA9-E103C70A92B6}">
      <text>
        <r>
          <rPr>
            <b/>
            <sz val="9"/>
            <color indexed="81"/>
            <rFont val="Tahoma"/>
            <family val="2"/>
          </rPr>
          <t>Waterman-Hoey, Stacey (ECY):</t>
        </r>
        <r>
          <rPr>
            <sz val="9"/>
            <color indexed="81"/>
            <rFont val="Tahoma"/>
            <family val="2"/>
          </rPr>
          <t xml:space="preserve">
Source: 2021 EIA Electric Sales and Revenue Report. 
All sectors and Commercial sector- Table 4
https://www.eia.gov/electricity/sales_revenue_price/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Waterman-Hoey, Stacey (ECY)</author>
  </authors>
  <commentList>
    <comment ref="A5" authorId="0" shapeId="0" xr:uid="{E8761C96-9E31-4081-83A5-850DD6BB4106}">
      <text>
        <r>
          <rPr>
            <b/>
            <sz val="9"/>
            <color indexed="81"/>
            <rFont val="Tahoma"/>
            <family val="2"/>
          </rPr>
          <t>Waterman-Hoey, Stacey (ECY):</t>
        </r>
        <r>
          <rPr>
            <sz val="9"/>
            <color indexed="81"/>
            <rFont val="Tahoma"/>
            <family val="2"/>
          </rPr>
          <t xml:space="preserve">
The Clean Energy Transformation Act (CETA) (SB 5116, 2019) requires that electricity providers eliminate coal by 2025, be GHG neutral by 2030 and 100% clean by 2045.  The intent of this law is to eliminate fossil fuels from the electricity supply. 
https://www.commerce.wa.gov/growing-the-economy/energy/ceta/</t>
        </r>
      </text>
    </comment>
    <comment ref="B50" authorId="0" shapeId="0" xr:uid="{4AA902F0-C810-4FE2-A0F4-95A80D07289B}">
      <text>
        <r>
          <rPr>
            <b/>
            <sz val="9"/>
            <color indexed="81"/>
            <rFont val="Tahoma"/>
            <family val="2"/>
          </rPr>
          <t>Waterman-Hoey, Stacey (ECY):</t>
        </r>
        <r>
          <rPr>
            <sz val="9"/>
            <color indexed="81"/>
            <rFont val="Tahoma"/>
            <family val="2"/>
          </rPr>
          <t xml:space="preserve">
Select WA State average $/kwh ($.080) or average utility $/kwh from reference sheet, or enter your own $/kwh data.</t>
        </r>
      </text>
    </comment>
    <comment ref="B53" authorId="0" shapeId="0" xr:uid="{BF935CD8-AFB2-4337-9232-FB8DE8FCC1CF}">
      <text>
        <r>
          <rPr>
            <b/>
            <sz val="9"/>
            <color indexed="81"/>
            <rFont val="Tahoma"/>
            <family val="2"/>
          </rPr>
          <t>Waterman-Hoey, Stacey (ECY):</t>
        </r>
        <r>
          <rPr>
            <sz val="9"/>
            <color indexed="81"/>
            <rFont val="Tahoma"/>
            <family val="2"/>
          </rPr>
          <t xml:space="preserve">
Use default WA Commercial sector retail price or enter your own $/therm data.
</t>
        </r>
      </text>
    </comment>
    <comment ref="B65" authorId="0" shapeId="0" xr:uid="{0FD4FECC-125A-46ED-B410-1DF5AD372B50}">
      <text>
        <r>
          <rPr>
            <b/>
            <sz val="9"/>
            <color indexed="81"/>
            <rFont val="Tahoma"/>
            <family val="2"/>
          </rPr>
          <t>Waterman-Hoey, Stacey (ECY):</t>
        </r>
        <r>
          <rPr>
            <sz val="9"/>
            <color indexed="81"/>
            <rFont val="Tahoma"/>
            <family val="2"/>
          </rPr>
          <t xml:space="preserve">
This data was unavailable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Waterman-Hoey, Stacey (ECY)</author>
  </authors>
  <commentList>
    <comment ref="L5" authorId="0" shapeId="0" xr:uid="{65EB28C8-8B88-4387-A0D1-5E05DF295FB2}">
      <text>
        <r>
          <rPr>
            <b/>
            <sz val="9"/>
            <color indexed="81"/>
            <rFont val="Tahoma"/>
            <family val="2"/>
          </rPr>
          <t>Waterman-Hoey, Stacey (ECY):</t>
        </r>
        <r>
          <rPr>
            <sz val="9"/>
            <color indexed="81"/>
            <rFont val="Tahoma"/>
            <family val="2"/>
          </rPr>
          <t xml:space="preserve">
Looks anomolous</t>
        </r>
      </text>
    </comment>
    <comment ref="A13" authorId="0" shapeId="0" xr:uid="{F975DECE-0A22-42B8-95AF-EFA6FB94C180}">
      <text>
        <r>
          <rPr>
            <b/>
            <sz val="9"/>
            <color indexed="81"/>
            <rFont val="Tahoma"/>
            <family val="2"/>
          </rPr>
          <t>Waterman-Hoey, Stacey (ECY):</t>
        </r>
        <r>
          <rPr>
            <sz val="9"/>
            <color indexed="81"/>
            <rFont val="Tahoma"/>
            <family val="2"/>
          </rPr>
          <t xml:space="preserve">
I couldn't find references to actual reported data prior to 2011. Many subsequent years analyses show an estimate of VA emissions based on that last year of reported data. I have removed the estimated years here. </t>
        </r>
      </text>
    </comment>
    <comment ref="I21" authorId="0" shapeId="0" xr:uid="{CE142056-CAD6-432B-8506-A21312284D11}">
      <text>
        <r>
          <rPr>
            <b/>
            <sz val="9"/>
            <color indexed="81"/>
            <rFont val="Tahoma"/>
            <family val="2"/>
          </rPr>
          <t>Waterman-Hoey, Stacey (ECY):</t>
        </r>
        <r>
          <rPr>
            <sz val="9"/>
            <color indexed="81"/>
            <rFont val="Tahoma"/>
            <family val="2"/>
          </rPr>
          <t xml:space="preserve">
This appears to be when SCC began using a utility-specific EF</t>
        </r>
      </text>
    </comment>
    <comment ref="J21" authorId="0" shapeId="0" xr:uid="{A7D7BE12-5A71-4D9D-BA4F-0FACD0CC1828}">
      <text>
        <r>
          <rPr>
            <b/>
            <sz val="9"/>
            <color indexed="81"/>
            <rFont val="Tahoma"/>
            <family val="2"/>
          </rPr>
          <t>Waterman-Hoey, Stacey (ECY):</t>
        </r>
        <r>
          <rPr>
            <sz val="9"/>
            <color indexed="81"/>
            <rFont val="Tahoma"/>
            <family val="2"/>
          </rPr>
          <t xml:space="preserve">
This appears to be when SCC began using a utility-specific EF</t>
        </r>
      </text>
    </comment>
    <comment ref="K21" authorId="0" shapeId="0" xr:uid="{863D069B-C8C6-4E6F-A398-91E127384306}">
      <text>
        <r>
          <rPr>
            <b/>
            <sz val="9"/>
            <color indexed="81"/>
            <rFont val="Tahoma"/>
            <family val="2"/>
          </rPr>
          <t>Waterman-Hoey, Stacey (ECY):</t>
        </r>
        <r>
          <rPr>
            <sz val="9"/>
            <color indexed="81"/>
            <rFont val="Tahoma"/>
            <family val="2"/>
          </rPr>
          <t xml:space="preserve">
This appears to be when SCC began using a utility-specific EF</t>
        </r>
      </text>
    </comment>
    <comment ref="L21" authorId="0" shapeId="0" xr:uid="{62C86FDD-59B9-4CCC-A7A0-115E068E87A0}">
      <text>
        <r>
          <rPr>
            <b/>
            <sz val="9"/>
            <color indexed="81"/>
            <rFont val="Tahoma"/>
            <family val="2"/>
          </rPr>
          <t>Waterman-Hoey, Stacey (ECY):</t>
        </r>
        <r>
          <rPr>
            <sz val="9"/>
            <color indexed="81"/>
            <rFont val="Tahoma"/>
            <family val="2"/>
          </rPr>
          <t xml:space="preserve">
This appears to be when SCC began using a utility-specific EF</t>
        </r>
      </text>
    </comment>
    <comment ref="M21" authorId="0" shapeId="0" xr:uid="{4D3CA53F-8030-45CB-B605-6E991BB5F192}">
      <text>
        <r>
          <rPr>
            <b/>
            <sz val="9"/>
            <color indexed="81"/>
            <rFont val="Tahoma"/>
            <family val="2"/>
          </rPr>
          <t>Waterman-Hoey, Stacey (ECY):</t>
        </r>
        <r>
          <rPr>
            <sz val="9"/>
            <color indexed="81"/>
            <rFont val="Tahoma"/>
            <family val="2"/>
          </rPr>
          <t xml:space="preserve">
This figure applies WA avg EF for electricity consumption, overriding the util-specific EF they previously used. </t>
        </r>
      </text>
    </comment>
    <comment ref="E25" authorId="0" shapeId="0" xr:uid="{2FFB856A-1BB6-406B-8933-C36D5AFAB052}">
      <text>
        <r>
          <rPr>
            <b/>
            <sz val="9"/>
            <color indexed="81"/>
            <rFont val="Tahoma"/>
            <family val="2"/>
          </rPr>
          <t>Waterman-Hoey, Stacey (ECY):</t>
        </r>
        <r>
          <rPr>
            <sz val="9"/>
            <color indexed="81"/>
            <rFont val="Tahoma"/>
            <family val="2"/>
          </rPr>
          <t xml:space="preserve">
This number seems anomolous.</t>
        </r>
      </text>
    </comment>
  </commentList>
</comments>
</file>

<file path=xl/sharedStrings.xml><?xml version="1.0" encoding="utf-8"?>
<sst xmlns="http://schemas.openxmlformats.org/spreadsheetml/2006/main" count="644" uniqueCount="462">
  <si>
    <t>Agency owned space (sq. ft.)</t>
  </si>
  <si>
    <t>Space leased in a DES owned building (sq. ft.)</t>
  </si>
  <si>
    <t xml:space="preserve"> </t>
  </si>
  <si>
    <t>Space leased from another state agency (sq. ft.)</t>
  </si>
  <si>
    <t>Space leased in a privately owned building (sq. ft.)</t>
  </si>
  <si>
    <t>Section 1: Agency Information</t>
  </si>
  <si>
    <t>Emission Sources</t>
  </si>
  <si>
    <t>Fuel type</t>
  </si>
  <si>
    <t>Natural gas (therms)</t>
  </si>
  <si>
    <t>Diesel (gallons)</t>
  </si>
  <si>
    <t>Propane (gallons)</t>
  </si>
  <si>
    <t>Fuel oil (gallons)</t>
  </si>
  <si>
    <t>Gasoline (gallons)</t>
  </si>
  <si>
    <t>Motor Vehicles</t>
  </si>
  <si>
    <t>Fuel quantity (gallons)</t>
  </si>
  <si>
    <t>Biofuel (%)*</t>
  </si>
  <si>
    <t>Gasoline</t>
  </si>
  <si>
    <t>Diesel: Retail purchases</t>
  </si>
  <si>
    <t>Diesel: WSDOT fueling stations</t>
  </si>
  <si>
    <t>Diesel: Bulk purchases</t>
  </si>
  <si>
    <t>Propane</t>
  </si>
  <si>
    <t>Boats (excluding ferries)</t>
  </si>
  <si>
    <t>Diesel</t>
  </si>
  <si>
    <t>Ferries</t>
  </si>
  <si>
    <t>Aircraft</t>
  </si>
  <si>
    <t>Aviation gasoline</t>
  </si>
  <si>
    <t>Jet fuel</t>
  </si>
  <si>
    <t>Natural gas</t>
  </si>
  <si>
    <t>Fuel oil</t>
  </si>
  <si>
    <t>Electricity</t>
  </si>
  <si>
    <t>Purchased steam</t>
  </si>
  <si>
    <t>Motor vehicles</t>
  </si>
  <si>
    <t>Reference Data</t>
  </si>
  <si>
    <t>Conversion Factors</t>
  </si>
  <si>
    <t>kg/MT</t>
  </si>
  <si>
    <t>lb/kg</t>
  </si>
  <si>
    <t>gal/bbl liquid fuel</t>
  </si>
  <si>
    <t>kWh/MWh</t>
  </si>
  <si>
    <t>MMBtu/klb steam</t>
  </si>
  <si>
    <t>Stationary Sources</t>
  </si>
  <si>
    <t>Fuel</t>
  </si>
  <si>
    <t>Diesel (distillate #2)</t>
  </si>
  <si>
    <t>Fleets</t>
  </si>
  <si>
    <t>Ethanol (E100)</t>
  </si>
  <si>
    <t xml:space="preserve">Diesel  </t>
  </si>
  <si>
    <t>Biodiesel (B100)</t>
  </si>
  <si>
    <t>Source: EPA 40 C.F.R Part 98</t>
  </si>
  <si>
    <t>Global Warming Potentials (100 yr)</t>
  </si>
  <si>
    <t>Source: WAC 173-441</t>
  </si>
  <si>
    <t>Reporters</t>
  </si>
  <si>
    <t>Fuel Type</t>
  </si>
  <si>
    <t>Fuel Quantity</t>
  </si>
  <si>
    <t xml:space="preserve">Bio/ Renewable Diesel % </t>
  </si>
  <si>
    <t>CO2e (MT)</t>
  </si>
  <si>
    <t>Section 2: Building Energy Use</t>
  </si>
  <si>
    <t>Section 3: Fleet Energy Use</t>
  </si>
  <si>
    <t>In 2020, the Legislature and Governor updated the State Agency Climate Leadership Act codified in RCW 70.235.050.  The Act directs state agencies, including universities, colleges, and community and technical colleges to lead by example in reducing their greenhouse gas (GHG) emissions to:</t>
  </si>
  <si>
    <t>https://ecology.wa.gov/Air-Climate/Climate-change/Greenhouse-gases/Greenhouse-gas-reporting/State-agency-greenhouse-gas-reports</t>
  </si>
  <si>
    <t>https://www.commerce.wa.gov/growing-the-economy/energy/state-efficiency-and-environmental-performance-seep/</t>
  </si>
  <si>
    <t>Washington State Efficiency and Environmental Performance (SEEP) Office:</t>
  </si>
  <si>
    <t xml:space="preserve">Reports from prior years and additional information about climate change can be found at Ecology's website: </t>
  </si>
  <si>
    <t>For questions and assistance, contact:</t>
  </si>
  <si>
    <t>Greenhouse Gas Emissions Analyst</t>
  </si>
  <si>
    <t xml:space="preserve">Climate Policy Section | Air Quality Program </t>
  </si>
  <si>
    <t>Washington Department of Ecology</t>
  </si>
  <si>
    <t>Stacey Waterman-Hoey</t>
  </si>
  <si>
    <t>Background for this Report</t>
  </si>
  <si>
    <t>State Agency Greenhouse Gas Emissions Calculator</t>
  </si>
  <si>
    <t>Puget Sound Partnership</t>
  </si>
  <si>
    <t>Electric Utilities</t>
  </si>
  <si>
    <r>
      <t>CO</t>
    </r>
    <r>
      <rPr>
        <vertAlign val="subscript"/>
        <sz val="12"/>
        <color rgb="FF000000"/>
        <rFont val="Calibri"/>
        <family val="2"/>
        <scheme val="minor"/>
      </rPr>
      <t>2</t>
    </r>
  </si>
  <si>
    <r>
      <t>CH</t>
    </r>
    <r>
      <rPr>
        <vertAlign val="subscript"/>
        <sz val="12"/>
        <color rgb="FF000000"/>
        <rFont val="Calibri"/>
        <family val="2"/>
        <scheme val="minor"/>
      </rPr>
      <t>4</t>
    </r>
  </si>
  <si>
    <r>
      <t>N</t>
    </r>
    <r>
      <rPr>
        <vertAlign val="subscript"/>
        <sz val="12"/>
        <color rgb="FF000000"/>
        <rFont val="Calibri"/>
        <family val="2"/>
        <scheme val="minor"/>
      </rPr>
      <t>2</t>
    </r>
    <r>
      <rPr>
        <sz val="12"/>
        <color rgb="FF000000"/>
        <rFont val="Calibri"/>
        <family val="2"/>
        <scheme val="minor"/>
      </rPr>
      <t>O</t>
    </r>
  </si>
  <si>
    <t>Enter agency data in yellow fields below</t>
  </si>
  <si>
    <r>
      <t>CO</t>
    </r>
    <r>
      <rPr>
        <b/>
        <vertAlign val="subscript"/>
        <sz val="11"/>
        <color theme="1"/>
        <rFont val="Calibri"/>
        <family val="2"/>
        <scheme val="minor"/>
      </rPr>
      <t>2</t>
    </r>
    <r>
      <rPr>
        <b/>
        <sz val="11"/>
        <color theme="1"/>
        <rFont val="Calibri"/>
        <family val="2"/>
        <scheme val="minor"/>
      </rPr>
      <t xml:space="preserve"> emissions </t>
    </r>
  </si>
  <si>
    <t>(MT CO2)</t>
  </si>
  <si>
    <r>
      <t>CH</t>
    </r>
    <r>
      <rPr>
        <b/>
        <vertAlign val="subscript"/>
        <sz val="11"/>
        <color theme="1"/>
        <rFont val="Calibri"/>
        <family val="2"/>
        <scheme val="minor"/>
      </rPr>
      <t>4</t>
    </r>
    <r>
      <rPr>
        <b/>
        <sz val="11"/>
        <color theme="1"/>
        <rFont val="Calibri"/>
        <family val="2"/>
        <scheme val="minor"/>
      </rPr>
      <t xml:space="preserve"> emissions </t>
    </r>
  </si>
  <si>
    <t>(MT CH4)</t>
  </si>
  <si>
    <r>
      <t>N</t>
    </r>
    <r>
      <rPr>
        <b/>
        <vertAlign val="subscript"/>
        <sz val="11"/>
        <color theme="1"/>
        <rFont val="Calibri"/>
        <family val="2"/>
        <scheme val="minor"/>
      </rPr>
      <t>2</t>
    </r>
    <r>
      <rPr>
        <b/>
        <sz val="11"/>
        <color theme="1"/>
        <rFont val="Calibri"/>
        <family val="2"/>
        <scheme val="minor"/>
      </rPr>
      <t xml:space="preserve">O emissions </t>
    </r>
  </si>
  <si>
    <t>(MT N2O)</t>
  </si>
  <si>
    <t xml:space="preserve">Total emissions </t>
  </si>
  <si>
    <t>(MT CO2e)</t>
  </si>
  <si>
    <r>
      <t>Fossil CO</t>
    </r>
    <r>
      <rPr>
        <b/>
        <vertAlign val="subscript"/>
        <sz val="11"/>
        <color theme="1"/>
        <rFont val="Calibri"/>
        <family val="2"/>
        <scheme val="minor"/>
      </rPr>
      <t>2</t>
    </r>
    <r>
      <rPr>
        <b/>
        <sz val="11"/>
        <color theme="1"/>
        <rFont val="Calibri"/>
        <family val="2"/>
        <scheme val="minor"/>
      </rPr>
      <t xml:space="preserve"> emissions </t>
    </r>
  </si>
  <si>
    <r>
      <t>Biogenic CO</t>
    </r>
    <r>
      <rPr>
        <b/>
        <vertAlign val="subscript"/>
        <sz val="11"/>
        <color theme="1"/>
        <rFont val="Calibri"/>
        <family val="2"/>
        <scheme val="minor"/>
      </rPr>
      <t>2</t>
    </r>
    <r>
      <rPr>
        <b/>
        <sz val="11"/>
        <color theme="1"/>
        <rFont val="Calibri"/>
        <family val="2"/>
        <scheme val="minor"/>
      </rPr>
      <t xml:space="preserve"> emissions </t>
    </r>
  </si>
  <si>
    <t>Total Building Energy Use</t>
  </si>
  <si>
    <t>Agency Code</t>
  </si>
  <si>
    <t xml:space="preserve">Default high heat value </t>
  </si>
  <si>
    <t>(mmBtu/gallon)</t>
  </si>
  <si>
    <r>
      <t>CO</t>
    </r>
    <r>
      <rPr>
        <b/>
        <vertAlign val="subscript"/>
        <sz val="12"/>
        <rFont val="Calibri"/>
        <family val="2"/>
        <scheme val="minor"/>
      </rPr>
      <t>2</t>
    </r>
    <r>
      <rPr>
        <b/>
        <sz val="12"/>
        <rFont val="Calibri"/>
        <family val="2"/>
        <scheme val="minor"/>
      </rPr>
      <t xml:space="preserve"> emission factor </t>
    </r>
  </si>
  <si>
    <t>(MT CO2/bbl)</t>
  </si>
  <si>
    <r>
      <t>CO</t>
    </r>
    <r>
      <rPr>
        <b/>
        <vertAlign val="subscript"/>
        <sz val="12"/>
        <color rgb="FF000000"/>
        <rFont val="Calibri"/>
        <family val="2"/>
        <scheme val="minor"/>
      </rPr>
      <t>2</t>
    </r>
    <r>
      <rPr>
        <b/>
        <sz val="12"/>
        <color rgb="FF000000"/>
        <rFont val="Calibri"/>
        <family val="2"/>
        <scheme val="minor"/>
      </rPr>
      <t xml:space="preserve"> emission factor </t>
    </r>
  </si>
  <si>
    <t>(MT CO2/gallon)</t>
  </si>
  <si>
    <r>
      <t>CH</t>
    </r>
    <r>
      <rPr>
        <b/>
        <vertAlign val="subscript"/>
        <sz val="12"/>
        <rFont val="Calibri"/>
        <family val="2"/>
        <scheme val="minor"/>
      </rPr>
      <t>4</t>
    </r>
    <r>
      <rPr>
        <b/>
        <sz val="12"/>
        <rFont val="Calibri"/>
        <family val="2"/>
        <scheme val="minor"/>
      </rPr>
      <t xml:space="preserve"> emission factor </t>
    </r>
  </si>
  <si>
    <t>(kg CH4/mmBtu)</t>
  </si>
  <si>
    <t>(MT CH4/gallon)</t>
  </si>
  <si>
    <r>
      <t>N</t>
    </r>
    <r>
      <rPr>
        <b/>
        <vertAlign val="subscript"/>
        <sz val="12"/>
        <rFont val="Calibri"/>
        <family val="2"/>
        <scheme val="minor"/>
      </rPr>
      <t>2</t>
    </r>
    <r>
      <rPr>
        <b/>
        <sz val="12"/>
        <rFont val="Calibri"/>
        <family val="2"/>
        <scheme val="minor"/>
      </rPr>
      <t xml:space="preserve">O emissions factor </t>
    </r>
  </si>
  <si>
    <t>(kg N2O/mmBtu)</t>
  </si>
  <si>
    <r>
      <t>N</t>
    </r>
    <r>
      <rPr>
        <b/>
        <vertAlign val="subscript"/>
        <sz val="12"/>
        <rFont val="Calibri"/>
        <family val="2"/>
        <scheme val="minor"/>
      </rPr>
      <t>2</t>
    </r>
    <r>
      <rPr>
        <b/>
        <sz val="12"/>
        <rFont val="Calibri"/>
        <family val="2"/>
        <scheme val="minor"/>
      </rPr>
      <t xml:space="preserve">O emission factor </t>
    </r>
  </si>
  <si>
    <t>(MT N2O/gallon)</t>
  </si>
  <si>
    <t>(kg CO2/kWh)</t>
  </si>
  <si>
    <t>(MT CO2/kWh)</t>
  </si>
  <si>
    <t>(kg CH4/MWh)</t>
  </si>
  <si>
    <t>(MT CH4/kWh)</t>
  </si>
  <si>
    <t>(kg N2O/MWh)</t>
  </si>
  <si>
    <t>(MT N2O/kWh)</t>
  </si>
  <si>
    <t>Total Building Energy Use Emissions</t>
  </si>
  <si>
    <t>Total Fossil Fleet Energy Use Emissions</t>
  </si>
  <si>
    <t>Total Annual Fossil GHG Emissions</t>
  </si>
  <si>
    <t>(gal)</t>
  </si>
  <si>
    <t>Biofuel qty only</t>
  </si>
  <si>
    <t xml:space="preserve">Central Washington University </t>
  </si>
  <si>
    <t xml:space="preserve">Department of Agriculture </t>
  </si>
  <si>
    <t xml:space="preserve">Department of Commerce </t>
  </si>
  <si>
    <t xml:space="preserve">Department of Corrections </t>
  </si>
  <si>
    <t xml:space="preserve">Department of Ecology </t>
  </si>
  <si>
    <t xml:space="preserve">Department of Enterprise Services </t>
  </si>
  <si>
    <t xml:space="preserve">Department of Fish and Wildlife </t>
  </si>
  <si>
    <t xml:space="preserve">Department of Health </t>
  </si>
  <si>
    <t xml:space="preserve">Department of Labor and Industries </t>
  </si>
  <si>
    <t xml:space="preserve">Department of Licensing </t>
  </si>
  <si>
    <t xml:space="preserve">Department of Natural Resources </t>
  </si>
  <si>
    <t xml:space="preserve">Department of Social and Health Services </t>
  </si>
  <si>
    <t xml:space="preserve">Department of Transportation </t>
  </si>
  <si>
    <t xml:space="preserve">Department of Veterans' Affairs </t>
  </si>
  <si>
    <t xml:space="preserve">Eastern Washington University </t>
  </si>
  <si>
    <t xml:space="preserve">Highline College </t>
  </si>
  <si>
    <t xml:space="preserve">Liquor and Cannabis Board </t>
  </si>
  <si>
    <t xml:space="preserve">Seattle Community College - District 6 </t>
  </si>
  <si>
    <t xml:space="preserve">Spokane Community College - District 17 </t>
  </si>
  <si>
    <t xml:space="preserve">State Parks and Recreation </t>
  </si>
  <si>
    <t xml:space="preserve">The Evergreen State College </t>
  </si>
  <si>
    <t xml:space="preserve">University of Washington </t>
  </si>
  <si>
    <t xml:space="preserve">Washington State Patrol </t>
  </si>
  <si>
    <t xml:space="preserve">Washington State University </t>
  </si>
  <si>
    <t xml:space="preserve">Western Washington University </t>
  </si>
  <si>
    <t>AGR</t>
  </si>
  <si>
    <t>COM</t>
  </si>
  <si>
    <t>DOC</t>
  </si>
  <si>
    <t>ECY</t>
  </si>
  <si>
    <t>DES</t>
  </si>
  <si>
    <t>DFW</t>
  </si>
  <si>
    <t>DOH</t>
  </si>
  <si>
    <t>L&amp;I</t>
  </si>
  <si>
    <t>DOL</t>
  </si>
  <si>
    <t>DNR</t>
  </si>
  <si>
    <t>DSHS</t>
  </si>
  <si>
    <t>DOT</t>
  </si>
  <si>
    <t>DVA</t>
  </si>
  <si>
    <t>EWU</t>
  </si>
  <si>
    <t>HC</t>
  </si>
  <si>
    <t>LCB</t>
  </si>
  <si>
    <t>PARKS</t>
  </si>
  <si>
    <t>TESC</t>
  </si>
  <si>
    <t>UW</t>
  </si>
  <si>
    <t>WSP</t>
  </si>
  <si>
    <t>WSU</t>
  </si>
  <si>
    <t>WWU</t>
  </si>
  <si>
    <t>CWU</t>
  </si>
  <si>
    <t>Agency Abbreviation</t>
  </si>
  <si>
    <t>Date completed</t>
  </si>
  <si>
    <t>Office of Financial Management</t>
  </si>
  <si>
    <t>OFM</t>
  </si>
  <si>
    <t>SEACC</t>
  </si>
  <si>
    <t>SPOCC</t>
  </si>
  <si>
    <t>Washington State Parks</t>
  </si>
  <si>
    <t>WPARKS</t>
  </si>
  <si>
    <t>Governor's Office</t>
  </si>
  <si>
    <t>GO</t>
  </si>
  <si>
    <t>PSP</t>
  </si>
  <si>
    <t>Avista Corp</t>
  </si>
  <si>
    <t>Benton Rural Electric Assn</t>
  </si>
  <si>
    <t>Big Bend Electric Coop, Inc</t>
  </si>
  <si>
    <t>Bonneville Power Administration</t>
  </si>
  <si>
    <t>Columbia Rural Elec Assn, Inc</t>
  </si>
  <si>
    <t>Elmhurst Mutual Power &amp; Light Co</t>
  </si>
  <si>
    <t>Inland Power &amp; Light Company</t>
  </si>
  <si>
    <t>Kootenai Electric Cooperative</t>
  </si>
  <si>
    <t>Lakeview Light &amp; Power</t>
  </si>
  <si>
    <t>Modern Electric Water Company</t>
  </si>
  <si>
    <t>Northern Lights, Inc</t>
  </si>
  <si>
    <t>Orcas Power &amp; Light Coop</t>
  </si>
  <si>
    <t>PUD 1 of Snohomish County</t>
  </si>
  <si>
    <t>PUD No 1 of Benton County</t>
  </si>
  <si>
    <t>PUD No 1 of Chelan County</t>
  </si>
  <si>
    <t>PUD No 1 of Clallam County</t>
  </si>
  <si>
    <t>PUD No 1 of Cowlitz County</t>
  </si>
  <si>
    <t>PUD No 1 of Douglas County</t>
  </si>
  <si>
    <t>PUD No 1 of Franklin County</t>
  </si>
  <si>
    <t>PUD No 1 of Grays Harbor County</t>
  </si>
  <si>
    <t>PUD No 1 of Jefferson County</t>
  </si>
  <si>
    <t>PUD No 1 of Klickitat County</t>
  </si>
  <si>
    <t>PUD No 1 of Lewis County</t>
  </si>
  <si>
    <t>PUD No 1 of Okanogan County</t>
  </si>
  <si>
    <t>PUD No 1 of Pend Oreille County</t>
  </si>
  <si>
    <t>PUD No 1 of Whatcom County</t>
  </si>
  <si>
    <t>PUD No 2 of Grant County</t>
  </si>
  <si>
    <t>PUD No 2 of Pacific County</t>
  </si>
  <si>
    <t>PUD No 3 of Mason County</t>
  </si>
  <si>
    <t>PacifiCorp</t>
  </si>
  <si>
    <t>Peninsula Light Company</t>
  </si>
  <si>
    <t>Puget Sound Energy Inc</t>
  </si>
  <si>
    <t>Vera Irrigation District #15</t>
  </si>
  <si>
    <t>$/kwh</t>
  </si>
  <si>
    <t>Estimate Electricity Savings</t>
  </si>
  <si>
    <t>kwh savings (from table above)</t>
  </si>
  <si>
    <t>Natural Gas</t>
  </si>
  <si>
    <t>$/gal</t>
  </si>
  <si>
    <t>gallon savings</t>
  </si>
  <si>
    <t>$/therm</t>
  </si>
  <si>
    <t>therm savings</t>
  </si>
  <si>
    <t>Washington State Average</t>
  </si>
  <si>
    <t>https://www.epa.gov/energy/greenhouse-gas-equivalencies-calculator</t>
  </si>
  <si>
    <t>https://www.epa.gov/avert/avert-web-edition</t>
  </si>
  <si>
    <t>EPA Avoided Emissions Calculator:</t>
  </si>
  <si>
    <t>https://www.epa.gov/statelocalenergy/quantifying-multiple-benefits-energy-efficiency-and-renewable-energy-guide-state</t>
  </si>
  <si>
    <t>More on quantifying benefits of efficiency and renewables:</t>
  </si>
  <si>
    <t>Purchased Steam (klbs)</t>
  </si>
  <si>
    <t>Purchased Electricity - Green Power Contract</t>
  </si>
  <si>
    <t>Estimate Cost Savings</t>
  </si>
  <si>
    <t>Additional Tools and Resources:</t>
  </si>
  <si>
    <t xml:space="preserve">More GHG equivalencies here: </t>
  </si>
  <si>
    <t>Agency Name</t>
  </si>
  <si>
    <t>Total conditioned space (sq. ft.)</t>
  </si>
  <si>
    <t xml:space="preserve">Total Fleet Emissions from Energy Use </t>
  </si>
  <si>
    <t>PY2</t>
  </si>
  <si>
    <t>PY3</t>
  </si>
  <si>
    <t>PY4</t>
  </si>
  <si>
    <t>PY5</t>
  </si>
  <si>
    <t>PY6</t>
  </si>
  <si>
    <t>PY7</t>
  </si>
  <si>
    <t>PY8</t>
  </si>
  <si>
    <t>PY9</t>
  </si>
  <si>
    <t>PY10</t>
  </si>
  <si>
    <t>PY1</t>
  </si>
  <si>
    <t>Project Years</t>
  </si>
  <si>
    <t>MTCO2 per year</t>
  </si>
  <si>
    <r>
      <t>3. If you are using d</t>
    </r>
    <r>
      <rPr>
        <b/>
        <sz val="11"/>
        <color theme="1"/>
        <rFont val="Calibri"/>
        <family val="2"/>
        <scheme val="minor"/>
      </rPr>
      <t>iesel with a portion of biodiesel</t>
    </r>
    <r>
      <rPr>
        <sz val="11"/>
        <color theme="1"/>
        <rFont val="Calibri"/>
        <family val="2"/>
        <scheme val="minor"/>
      </rPr>
      <t xml:space="preserve"> or renewable diesel, put those percentages in the next column.</t>
    </r>
  </si>
  <si>
    <t>GHG reporter name</t>
  </si>
  <si>
    <t>GHG reporter email</t>
  </si>
  <si>
    <t>GHG reporter phone number</t>
  </si>
  <si>
    <t>MMBtu/therm</t>
  </si>
  <si>
    <r>
      <rPr>
        <b/>
        <sz val="11"/>
        <color theme="1"/>
        <rFont val="Calibri"/>
        <family val="2"/>
        <scheme val="minor"/>
      </rPr>
      <t>Purchased</t>
    </r>
    <r>
      <rPr>
        <sz val="11"/>
        <color theme="1"/>
        <rFont val="Calibri"/>
        <family val="2"/>
        <scheme val="minor"/>
      </rPr>
      <t xml:space="preserve"> electricity from green contract (kWh)</t>
    </r>
  </si>
  <si>
    <t>Steam - Fossil Fuel</t>
  </si>
  <si>
    <t>Purchased electricity - WA avg mix</t>
  </si>
  <si>
    <t>Stationary Fossil Fuel Combustion</t>
  </si>
  <si>
    <t>Stationary Renewable Thermal Energy</t>
  </si>
  <si>
    <t>Purchased Electricity - Standard Utility Retail Electricity</t>
  </si>
  <si>
    <t>Fossil Fuel Consumption</t>
  </si>
  <si>
    <t>Thermal Energy Consumption</t>
  </si>
  <si>
    <t>Purchased electricity - WA State Avg Retail Mix 3yr avg</t>
  </si>
  <si>
    <t xml:space="preserve">Fuel </t>
  </si>
  <si>
    <t>Source: EPA 40 C.F.R Part 98 as adopted in WAC 173-441 https://app.leg.wa.gov/WAC/default.aspx?cite=173-441</t>
  </si>
  <si>
    <t>eGRID NWPP 2019</t>
  </si>
  <si>
    <t>lb/MWh</t>
  </si>
  <si>
    <t>2019 lb/MWh</t>
  </si>
  <si>
    <t>https://www.epa.gov/egrid/data-explorer</t>
  </si>
  <si>
    <t>lbs/MWh</t>
  </si>
  <si>
    <t xml:space="preserve"> kg/MWh</t>
  </si>
  <si>
    <t xml:space="preserve">Annual electricity purchases (kWh) </t>
  </si>
  <si>
    <r>
      <t xml:space="preserve">Section 4: Fossil GHG Emissions Summary - </t>
    </r>
    <r>
      <rPr>
        <b/>
        <sz val="12"/>
        <color theme="0"/>
        <rFont val="Calibri"/>
        <family val="2"/>
        <scheme val="minor"/>
      </rPr>
      <t>Excludes biogenic portion of biofuel combustion</t>
    </r>
  </si>
  <si>
    <t>Name of Agency Approver</t>
  </si>
  <si>
    <t>•   15% below 2005 baseline by 2020</t>
  </si>
  <si>
    <t>•   45% below 2005 by 2030</t>
  </si>
  <si>
    <t xml:space="preserve">•   95% below 2005 by 2050, achieve net zero </t>
  </si>
  <si>
    <t>Purchased steam (fossil fuel)</t>
  </si>
  <si>
    <t>Steam</t>
  </si>
  <si>
    <t>(kg CO2/mmBtu)</t>
  </si>
  <si>
    <t>(MT CO2/therm)</t>
  </si>
  <si>
    <r>
      <t>CH</t>
    </r>
    <r>
      <rPr>
        <b/>
        <vertAlign val="subscript"/>
        <sz val="12"/>
        <rFont val="Calibri"/>
        <family val="2"/>
        <scheme val="minor"/>
      </rPr>
      <t>4</t>
    </r>
    <r>
      <rPr>
        <b/>
        <sz val="12"/>
        <rFont val="Calibri"/>
        <family val="2"/>
        <scheme val="minor"/>
      </rPr>
      <t xml:space="preserve"> emission factor</t>
    </r>
  </si>
  <si>
    <t xml:space="preserve"> (MT CH4/therm)</t>
  </si>
  <si>
    <r>
      <t>N</t>
    </r>
    <r>
      <rPr>
        <b/>
        <vertAlign val="subscript"/>
        <sz val="12"/>
        <rFont val="Calibri"/>
        <family val="2"/>
        <scheme val="minor"/>
      </rPr>
      <t>2</t>
    </r>
    <r>
      <rPr>
        <b/>
        <sz val="12"/>
        <rFont val="Calibri"/>
        <family val="2"/>
        <scheme val="minor"/>
      </rPr>
      <t>O emissions factor</t>
    </r>
  </si>
  <si>
    <t xml:space="preserve"> (kg N2O/mmBtu)</t>
  </si>
  <si>
    <t>(MT N2O/therm)</t>
  </si>
  <si>
    <t xml:space="preserve">High heat value </t>
  </si>
  <si>
    <t>(MT CO2/klb)</t>
  </si>
  <si>
    <t>(MT CH4/klb)</t>
  </si>
  <si>
    <t>(MT N2O/klb)</t>
  </si>
  <si>
    <t>$/1000 CF</t>
  </si>
  <si>
    <t>Fuel Prices</t>
  </si>
  <si>
    <t xml:space="preserve">Gasoline </t>
  </si>
  <si>
    <t xml:space="preserve">Aviation Gasoline </t>
  </si>
  <si>
    <t xml:space="preserve">Fuel Oil </t>
  </si>
  <si>
    <t>Jet Fuel</t>
  </si>
  <si>
    <t>https://www.eia.gov/dnav/ng/ng_pri_sum_dcu_SWA_a.htm</t>
  </si>
  <si>
    <t>https://gasprices.aaa.com/?state=WA</t>
  </si>
  <si>
    <t>https://www.eia.gov/petroleum/gasdiesel/</t>
  </si>
  <si>
    <t>https://www.eia.gov/petroleum/heatingoilpropane/</t>
  </si>
  <si>
    <t>https://www.eia.gov/dnav/pet/hist/LeafHandler.ashx?n=PET&amp;s=EMA_EPJK_PWG_NUS_DPG&amp;f=M</t>
  </si>
  <si>
    <t>Purchased Steam (Million lbs - Mlbs) (enter your own value)</t>
  </si>
  <si>
    <t>Baseline annual emissions (before)</t>
  </si>
  <si>
    <t>New annual emissions level after project (after)</t>
  </si>
  <si>
    <t>Emissions avoided (cumulative)</t>
  </si>
  <si>
    <t>Gasoline (gallons per year)</t>
  </si>
  <si>
    <t>Diesel (gallons per year)</t>
  </si>
  <si>
    <t>Electricity (kWh per year)</t>
  </si>
  <si>
    <t>Natural Gas (Therms per year)</t>
  </si>
  <si>
    <t>Aviation Gasoline (gallons per year)</t>
  </si>
  <si>
    <t>Fuel Oil (Gallons per year)</t>
  </si>
  <si>
    <t>Jet Fuel (gallons per year)</t>
  </si>
  <si>
    <t>Propane (Gallons per year)</t>
  </si>
  <si>
    <t>Purchased Steam (Million lbs - Mlbs per year)</t>
  </si>
  <si>
    <t>Annual Emissions Before</t>
  </si>
  <si>
    <t>Annual Emissions After</t>
  </si>
  <si>
    <t>&lt;&lt;&lt; MTCO2e saved each year</t>
  </si>
  <si>
    <t>&lt;&lt;&lt; $ saved each year</t>
  </si>
  <si>
    <t>&lt;&lt;&lt; $ saved over 10 years</t>
  </si>
  <si>
    <t>&lt;&lt;&lt; MTCO2e saved (avoided) over 10 years</t>
  </si>
  <si>
    <t>$ Savings</t>
  </si>
  <si>
    <t>Baseline cost (before)</t>
  </si>
  <si>
    <t>New annual cost after project (after)</t>
  </si>
  <si>
    <t xml:space="preserve"> Annual CO2e Savings (avoided)</t>
  </si>
  <si>
    <t>Annual Cost Before ($/yr)</t>
  </si>
  <si>
    <t>Annual Cost After ($/yr)</t>
  </si>
  <si>
    <t xml:space="preserve"> Annual $ Savings (avoided)($/yr)</t>
  </si>
  <si>
    <r>
      <t xml:space="preserve">1. Enter the </t>
    </r>
    <r>
      <rPr>
        <b/>
        <sz val="11"/>
        <color theme="1"/>
        <rFont val="Calibri"/>
        <family val="2"/>
        <scheme val="minor"/>
      </rPr>
      <t>current annual quantity of fuel</t>
    </r>
    <r>
      <rPr>
        <sz val="11"/>
        <color theme="1"/>
        <rFont val="Calibri"/>
        <family val="2"/>
        <scheme val="minor"/>
      </rPr>
      <t xml:space="preserve"> used in the </t>
    </r>
    <r>
      <rPr>
        <sz val="11"/>
        <color theme="5" tint="-0.249977111117893"/>
        <rFont val="Calibri"/>
        <family val="2"/>
        <scheme val="minor"/>
      </rPr>
      <t>orange</t>
    </r>
    <r>
      <rPr>
        <sz val="11"/>
        <color theme="1"/>
        <rFont val="Calibri"/>
        <family val="2"/>
        <scheme val="minor"/>
      </rPr>
      <t xml:space="preserve"> cells in the </t>
    </r>
    <r>
      <rPr>
        <b/>
        <sz val="11"/>
        <color theme="1"/>
        <rFont val="Calibri"/>
        <family val="2"/>
        <scheme val="minor"/>
      </rPr>
      <t>before</t>
    </r>
    <r>
      <rPr>
        <sz val="11"/>
        <color theme="1"/>
        <rFont val="Calibri"/>
        <family val="2"/>
        <scheme val="minor"/>
      </rPr>
      <t xml:space="preserve"> column.</t>
    </r>
  </si>
  <si>
    <r>
      <t>2. Enter the f</t>
    </r>
    <r>
      <rPr>
        <b/>
        <sz val="11"/>
        <color theme="1"/>
        <rFont val="Calibri"/>
        <family val="2"/>
        <scheme val="minor"/>
      </rPr>
      <t>uture quantity of fuel</t>
    </r>
    <r>
      <rPr>
        <sz val="11"/>
        <color theme="1"/>
        <rFont val="Calibri"/>
        <family val="2"/>
        <scheme val="minor"/>
      </rPr>
      <t xml:space="preserve"> to be used (after project completion) in the </t>
    </r>
    <r>
      <rPr>
        <sz val="11"/>
        <color theme="5" tint="-0.249977111117893"/>
        <rFont val="Calibri"/>
        <family val="2"/>
        <scheme val="minor"/>
      </rPr>
      <t>orange</t>
    </r>
    <r>
      <rPr>
        <sz val="11"/>
        <color theme="1"/>
        <rFont val="Calibri"/>
        <family val="2"/>
        <scheme val="minor"/>
      </rPr>
      <t xml:space="preserve"> cells in the </t>
    </r>
    <r>
      <rPr>
        <b/>
        <sz val="11"/>
        <color theme="1"/>
        <rFont val="Calibri"/>
        <family val="2"/>
        <scheme val="minor"/>
      </rPr>
      <t>after</t>
    </r>
    <r>
      <rPr>
        <sz val="11"/>
        <color theme="1"/>
        <rFont val="Calibri"/>
        <family val="2"/>
        <scheme val="minor"/>
      </rPr>
      <t xml:space="preserve"> column. </t>
    </r>
  </si>
  <si>
    <t xml:space="preserve">4. For multiple projects, copy this tab as often as needed. </t>
  </si>
  <si>
    <t>CAUTION: This sheet is not protected so you can change it as needed. New copies can be found at Ecology's website.</t>
  </si>
  <si>
    <t xml:space="preserve">Electricity price  </t>
  </si>
  <si>
    <t>Natural Gas price</t>
  </si>
  <si>
    <t>Other Fuel Prices</t>
  </si>
  <si>
    <t>Aviation Gasoline</t>
  </si>
  <si>
    <t>Fuel Oil</t>
  </si>
  <si>
    <t xml:space="preserve">Propane </t>
  </si>
  <si>
    <t>Emission and Cost Reduction Estimates (Optional)</t>
  </si>
  <si>
    <t>How to Use this Calculator</t>
  </si>
  <si>
    <t>Current Annual Fuel Use (Before)</t>
  </si>
  <si>
    <t>Future Annual Fuel Use (After)</t>
  </si>
  <si>
    <r>
      <t>MT CO</t>
    </r>
    <r>
      <rPr>
        <b/>
        <vertAlign val="subscript"/>
        <sz val="14"/>
        <color theme="1"/>
        <rFont val="Calibri"/>
        <family val="2"/>
        <scheme val="minor"/>
      </rPr>
      <t>2</t>
    </r>
    <r>
      <rPr>
        <b/>
        <sz val="14"/>
        <color theme="1"/>
        <rFont val="Calibri"/>
        <family val="2"/>
        <scheme val="minor"/>
      </rPr>
      <t>e</t>
    </r>
  </si>
  <si>
    <t>kBtu/kWh</t>
  </si>
  <si>
    <t>NOTE REGARDING ELECTRICITY EMISSIONS FORECAST:</t>
  </si>
  <si>
    <r>
      <t>As agencies plan future emission reduction projects, keep in mind that the electricity grid is moving toward carbon neutrality by 2030, making all-electric buildings and vehicles zero GHG emissions. The transformation away from fossil fuels requires that all energy be used as efficiently as possible and remaining energy use come from clean electricity and renewable fuels. This simple calculator</t>
    </r>
    <r>
      <rPr>
        <b/>
        <sz val="11"/>
        <color theme="1"/>
        <rFont val="Calibri"/>
        <family val="2"/>
        <scheme val="minor"/>
      </rPr>
      <t xml:space="preserve"> does not include a projection of declining future emissions from electricity</t>
    </r>
    <r>
      <rPr>
        <sz val="11"/>
        <color theme="1"/>
        <rFont val="Calibri"/>
        <family val="2"/>
        <scheme val="minor"/>
      </rPr>
      <t xml:space="preserve"> - it holds current emission levels steady into the future.  </t>
    </r>
  </si>
  <si>
    <t>https://des.wa.gov/services/facilities-leasing/energy-program/resource-conservation-management-program</t>
  </si>
  <si>
    <t>Resources for state buildings can be found here:</t>
  </si>
  <si>
    <t xml:space="preserve">Enter information about fleet(s) and mobile equipment owned by the agency or leased from the state motor pool into yellow cells. </t>
  </si>
  <si>
    <t>Building Energy Use Emissions Details</t>
  </si>
  <si>
    <t>Fleet Energy Use Emissions Details</t>
  </si>
  <si>
    <t xml:space="preserve">Projected Emissions </t>
  </si>
  <si>
    <t>Projected Cost Savings</t>
  </si>
  <si>
    <t>Estimate Emission Reductions</t>
  </si>
  <si>
    <t>Average utility costs are pre-populated. You may replace it with your own utility data.</t>
  </si>
  <si>
    <t>Enter the year project will be installed &gt;&gt;&gt;</t>
  </si>
  <si>
    <t>Cost avoided (cumulative savings)</t>
  </si>
  <si>
    <t>MTCO2e</t>
  </si>
  <si>
    <t>MTCO2</t>
  </si>
  <si>
    <t>passenger vehicles driven for one year</t>
  </si>
  <si>
    <t>acres of U.S. forest sequestration in one year</t>
  </si>
  <si>
    <t>https://ecology.wa.gov/Air-Climate/Climate-change/Tracking-greenhouse-gases/Greenhouse-gas-reporting/State-agency-greenhouse-gas-reports</t>
  </si>
  <si>
    <r>
      <t xml:space="preserve">The "Emission Reduction Estimates" tab of this spreadsheet is a simple tool for roughly estimating GHG and cost savings from mitigation projects. This tab is available for your agency's internal use and is </t>
    </r>
    <r>
      <rPr>
        <u/>
        <sz val="12"/>
        <color theme="1"/>
        <rFont val="Calibri"/>
        <family val="2"/>
        <scheme val="minor"/>
      </rPr>
      <t>not required for reporting.</t>
    </r>
  </si>
  <si>
    <t>The requirements for state agencies include the following reports:</t>
  </si>
  <si>
    <t>stacey.waterman-hoey@ecy.wa.gov | 360-764-6187(c)</t>
  </si>
  <si>
    <t>Emission Equivalencies</t>
  </si>
  <si>
    <t>Your project reduced the equivalent amount as:</t>
  </si>
  <si>
    <r>
      <t>This tab provides a variety of simple tools for quickly estimating GHG reduction and cost savings for mitigation projects.</t>
    </r>
    <r>
      <rPr>
        <b/>
        <sz val="11"/>
        <rFont val="Calibri"/>
        <family val="2"/>
        <scheme val="minor"/>
      </rPr>
      <t xml:space="preserve"> This tab is available for your agency's internal use and is not required for reporting.</t>
    </r>
  </si>
  <si>
    <t>•   75% below 2005 by 2040</t>
  </si>
  <si>
    <t xml:space="preserve">•    Enter data in yellow fields in the "Report" tab. </t>
  </si>
  <si>
    <t>•    See complete instructions at Ecology's website for State Agency GHG Reporting here:</t>
  </si>
  <si>
    <t>Additional resources for state buildings can be found here:</t>
  </si>
  <si>
    <t>Detailed upload instructions are at the link above. Quick link to SAGE portal here:</t>
  </si>
  <si>
    <t>http://ecyapaq/aqportal/SAGE/Default.aspx</t>
  </si>
  <si>
    <t>This calculator is used to determine your agency's annual GHG emissions from building energy use and fleet energy use (vehicles and mobile equipment). The information is gathered annually from state agencies and reported biennially to legislature, the next report is due Dec. 2024.</t>
  </si>
  <si>
    <t xml:space="preserve">•   Report estimated greenhouse gas emissions from agency operations annually to Dept. of Ecology by completing and submitting this calculator. </t>
  </si>
  <si>
    <t>Report tab, general updates:</t>
  </si>
  <si>
    <t>Added percentage share calculations for building ownership, building sector, fleet sector and total sector.</t>
  </si>
  <si>
    <t>Added more cells for notes</t>
  </si>
  <si>
    <t>Section 2:</t>
  </si>
  <si>
    <t xml:space="preserve">Section 3: </t>
  </si>
  <si>
    <t>Reference Tab:</t>
  </si>
  <si>
    <t>updated fuel prices and electricity emissions factor</t>
  </si>
  <si>
    <t>Document changes or updates from past years reports here.</t>
  </si>
  <si>
    <t>Enter information about stationary fuel sources (including natural gas, fuel oil and other fuels) and purchased electricity and steam into yellow cells.  Include all electricity purchased, including electricity purchased from green contracts.  Data should align with Energy Star Portfolio Manager.</t>
  </si>
  <si>
    <t>Include additional description of facilities or changes from previous report: &gt;&gt;&gt;</t>
  </si>
  <si>
    <t xml:space="preserve">Electricity Consumption </t>
  </si>
  <si>
    <t>Notes</t>
  </si>
  <si>
    <t>Specify renewable electricity resources here (solar PV, wind, etc.) If kwh production data is not available, please report system design size, estimated energy output and/or energy savings here. &gt;&gt;&gt;</t>
  </si>
  <si>
    <r>
      <t xml:space="preserve">Renewable thermal space conditioning </t>
    </r>
    <r>
      <rPr>
        <sz val="9"/>
        <color theme="1"/>
        <rFont val="Calibri"/>
        <family val="2"/>
        <scheme val="minor"/>
      </rPr>
      <t>(examples: geothermal/ground source heat pumps, solar hot water, renewable gas such as biogas or landfill gas, or biomass.)</t>
    </r>
    <r>
      <rPr>
        <sz val="11"/>
        <color theme="1"/>
        <rFont val="Calibri"/>
        <family val="2"/>
        <scheme val="minor"/>
      </rPr>
      <t xml:space="preserve"> (kBtu, or specify other units)</t>
    </r>
  </si>
  <si>
    <t xml:space="preserve">Specify renewable thermal resource type here (geothermal, biomass, solar thermal, Etc.) If kBtu production data is not available, please report system design size, projected energy savings or other performance info here. &gt;&gt;&gt; </t>
  </si>
  <si>
    <t>Biofuel (%)</t>
  </si>
  <si>
    <r>
      <t>If your agency consumes fuel for</t>
    </r>
    <r>
      <rPr>
        <b/>
        <sz val="11"/>
        <color theme="1"/>
        <rFont val="Calibri"/>
        <family val="2"/>
        <scheme val="minor"/>
      </rPr>
      <t xml:space="preserve"> landscape equipment, off-road vehicles, construction vehicles and equipment, agricultural or other uses not reported elsewhere</t>
    </r>
    <r>
      <rPr>
        <sz val="11"/>
        <color theme="1"/>
        <rFont val="Calibri"/>
        <family val="2"/>
        <scheme val="minor"/>
      </rPr>
      <t xml:space="preserve">, </t>
    </r>
    <r>
      <rPr>
        <b/>
        <sz val="11"/>
        <color theme="1"/>
        <rFont val="Calibri"/>
        <family val="2"/>
        <scheme val="minor"/>
      </rPr>
      <t xml:space="preserve">provide </t>
    </r>
    <r>
      <rPr>
        <b/>
        <u/>
        <sz val="11"/>
        <color theme="1"/>
        <rFont val="Calibri"/>
        <family val="2"/>
        <scheme val="minor"/>
      </rPr>
      <t>fuel quantities</t>
    </r>
    <r>
      <rPr>
        <b/>
        <sz val="11"/>
        <color theme="1"/>
        <rFont val="Calibri"/>
        <family val="2"/>
        <scheme val="minor"/>
      </rPr>
      <t xml:space="preserve"> and </t>
    </r>
    <r>
      <rPr>
        <b/>
        <u/>
        <sz val="11"/>
        <color theme="1"/>
        <rFont val="Calibri"/>
        <family val="2"/>
        <scheme val="minor"/>
      </rPr>
      <t>fuel type</t>
    </r>
    <r>
      <rPr>
        <b/>
        <sz val="11"/>
        <color theme="1"/>
        <rFont val="Calibri"/>
        <family val="2"/>
        <scheme val="minor"/>
      </rPr>
      <t xml:space="preserve"> for </t>
    </r>
    <r>
      <rPr>
        <b/>
        <u/>
        <sz val="11"/>
        <color theme="1"/>
        <rFont val="Calibri"/>
        <family val="2"/>
        <scheme val="minor"/>
      </rPr>
      <t>each vehicle/equipment category</t>
    </r>
    <r>
      <rPr>
        <b/>
        <sz val="11"/>
        <color theme="1"/>
        <rFont val="Calibri"/>
        <family val="2"/>
        <scheme val="minor"/>
      </rPr>
      <t xml:space="preserve"> in the comment box below</t>
    </r>
    <r>
      <rPr>
        <sz val="11"/>
        <color theme="1"/>
        <rFont val="Calibri"/>
        <family val="2"/>
        <scheme val="minor"/>
      </rPr>
      <t>. Note this data will not be included in agency-level reports but may be aggregated for a statewide estimate.</t>
    </r>
  </si>
  <si>
    <t>Share of sector CO2e</t>
  </si>
  <si>
    <t>Share of bldgs CO2e</t>
  </si>
  <si>
    <t>Stationary combustion (all buildings)</t>
  </si>
  <si>
    <t>Electricity (all buildings)</t>
  </si>
  <si>
    <t>Fuel qty w/o biofuel</t>
  </si>
  <si>
    <t>share of fleet fossil CO2e</t>
  </si>
  <si>
    <t>2021 All customers Avg retail price ($/kwh)</t>
  </si>
  <si>
    <t>2021 Commercial sector avg retail price ($/kwh)</t>
  </si>
  <si>
    <t>2021 WA state avg commercial price</t>
  </si>
  <si>
    <t>City of Centralia - (WA)</t>
  </si>
  <si>
    <t>Prices as of 1/13/2023</t>
  </si>
  <si>
    <t>City of Ellensburg - (WA)</t>
  </si>
  <si>
    <t>City of Port Angeles - (WA)</t>
  </si>
  <si>
    <t>state daily avg on 1/13/2023</t>
  </si>
  <si>
    <t>City of Richland - (WA)</t>
  </si>
  <si>
    <t>City of Seattle - (WA)</t>
  </si>
  <si>
    <t>state weekly retail gas, reg grade, incl tax, 1/9/2023</t>
  </si>
  <si>
    <t>City of Tacoma - (WA)</t>
  </si>
  <si>
    <t>US weekly , residential heating oil, 1/9/2023</t>
  </si>
  <si>
    <t>U.S. Kerosene-Type Jet Fuel Wholesale/Resale Price by Refiners, monthly March 2022</t>
  </si>
  <si>
    <t>US weekly , residential propane, 1/9/2023</t>
  </si>
  <si>
    <t>PUD No 1 of Clark County - (WA)</t>
  </si>
  <si>
    <t>Sunrun Inc.</t>
  </si>
  <si>
    <t>Tesla Inc.</t>
  </si>
  <si>
    <r>
      <rPr>
        <b/>
        <sz val="14"/>
        <color theme="1"/>
        <rFont val="Calibri"/>
        <family val="2"/>
        <scheme val="minor"/>
      </rPr>
      <t>Conditioned Space Details -</t>
    </r>
    <r>
      <rPr>
        <b/>
        <sz val="11"/>
        <color theme="1"/>
        <rFont val="Calibri"/>
        <family val="2"/>
        <scheme val="minor"/>
      </rPr>
      <t xml:space="preserve"> </t>
    </r>
    <r>
      <rPr>
        <sz val="11"/>
        <color theme="1"/>
        <rFont val="Calibri"/>
        <family val="2"/>
        <scheme val="minor"/>
      </rPr>
      <t>heated or cooled using electricity, natural gas, or other forms of energy</t>
    </r>
  </si>
  <si>
    <t>Electricity Quantity</t>
  </si>
  <si>
    <t>2020 lb/MWh</t>
  </si>
  <si>
    <t>2021 lb/MWh</t>
  </si>
  <si>
    <t>3 year average</t>
  </si>
  <si>
    <t>Natural gas (per scf)</t>
  </si>
  <si>
    <t>Gasoline (w/o ethanol)</t>
  </si>
  <si>
    <t>MT CO2e</t>
  </si>
  <si>
    <t>MT reductions needed to meet 2040 limit (MT)</t>
  </si>
  <si>
    <t>MT reductions needed to meet 2050 limit (MT)</t>
  </si>
  <si>
    <t>Department of Corrections</t>
  </si>
  <si>
    <t>Department of Social and Health Services</t>
  </si>
  <si>
    <t>Washington State Patrol</t>
  </si>
  <si>
    <t>Department of Enterprise Services</t>
  </si>
  <si>
    <t>Central Washington University</t>
  </si>
  <si>
    <t>Eastern Washington University</t>
  </si>
  <si>
    <t>Department of Fish and Wildlife</t>
  </si>
  <si>
    <t xml:space="preserve">       12,957 </t>
  </si>
  <si>
    <t xml:space="preserve">       12,912 </t>
  </si>
  <si>
    <t xml:space="preserve">          8,969 </t>
  </si>
  <si>
    <t>Department of Natural Resources</t>
  </si>
  <si>
    <t>Spokane Community College</t>
  </si>
  <si>
    <t>Evergreen State College</t>
  </si>
  <si>
    <t>Seattle Community College</t>
  </si>
  <si>
    <t>State Parks and Recreation Commission</t>
  </si>
  <si>
    <t>Department of Health</t>
  </si>
  <si>
    <t>Labor and Industries</t>
  </si>
  <si>
    <t>Department of Veteran Affairs</t>
  </si>
  <si>
    <t>Liquor and Cannabis Board</t>
  </si>
  <si>
    <t>Department of Ecology</t>
  </si>
  <si>
    <t>Department of Agriculture</t>
  </si>
  <si>
    <t>Department of Commerce</t>
  </si>
  <si>
    <t>MT reductions needed to meet 2030 limit (MT)</t>
  </si>
  <si>
    <t>2021 % over 2030 limit</t>
  </si>
  <si>
    <t>Dept  of  Transportation</t>
  </si>
  <si>
    <t>2020 Limit: 15% below 2005</t>
  </si>
  <si>
    <t>2030 limit: 45% below 2005</t>
  </si>
  <si>
    <t>2040 limit: 70% below 2005</t>
  </si>
  <si>
    <t>2050 limit: 95% below 2005</t>
  </si>
  <si>
    <t>2021 MT over 2020 limit</t>
  </si>
  <si>
    <t>This is a new tab</t>
  </si>
  <si>
    <t>Historic data and limits:</t>
  </si>
  <si>
    <t>Renewable Electricity Production (Agency-owned or on-site, with RECs included)</t>
  </si>
  <si>
    <r>
      <t>Electricity generated from solar photovoltaics, wind turbine, microhydro or other</t>
    </r>
    <r>
      <rPr>
        <sz val="11"/>
        <color rgb="FFFF0000"/>
        <rFont val="Calibri"/>
        <family val="2"/>
        <scheme val="minor"/>
      </rPr>
      <t xml:space="preserve"> </t>
    </r>
    <r>
      <rPr>
        <sz val="11"/>
        <color theme="1"/>
        <rFont val="Calibri"/>
        <family val="2"/>
        <scheme val="minor"/>
      </rPr>
      <t>renewable power sources (kWh) See comment for definition. RECs must not be sold.</t>
    </r>
  </si>
  <si>
    <t>Additional options for reporting biofuels content</t>
  </si>
  <si>
    <t>Added option for recording surplus renewable net-metered generation with environmental attributes intact. See note in cell D25 and instruction document for details. Providing this information is optional.</t>
  </si>
  <si>
    <r>
      <t>See this note regarding</t>
    </r>
    <r>
      <rPr>
        <b/>
        <sz val="9"/>
        <color theme="1"/>
        <rFont val="Calibri"/>
        <family val="2"/>
        <scheme val="minor"/>
      </rPr>
      <t xml:space="preserve"> net metering and RECs</t>
    </r>
  </si>
  <si>
    <t>Avg retail diesel sold in WA contains 5% biodiesel. Fuel sold through DOT bulk refueling stations has biodiesel content of 13% for 2022.</t>
  </si>
  <si>
    <t>share of bldg. ownership</t>
  </si>
  <si>
    <r>
      <t xml:space="preserve">•    Once you have entered your agency's information into the calculator, save your spreadsheet using this naming convention: [2022]_[agency acronym_GHG.xlsx] </t>
    </r>
    <r>
      <rPr>
        <i/>
        <sz val="12"/>
        <color theme="1"/>
        <rFont val="Calibri"/>
        <family val="2"/>
        <scheme val="minor"/>
      </rPr>
      <t xml:space="preserve">(example: 2022_ECY_GHG.xlsx) </t>
    </r>
  </si>
  <si>
    <t>This emissions report is due to Dept of Ecology by May 26th, 2023</t>
  </si>
  <si>
    <t xml:space="preserve">•   Report GHG Emission Reduction Strategy Update to Dept of Commerce State Efficiency and Environmental Performance (SEEP). </t>
  </si>
  <si>
    <r>
      <t xml:space="preserve">Past reported data and emission reduction strategies published in </t>
    </r>
    <r>
      <rPr>
        <i/>
        <u/>
        <sz val="10"/>
        <color theme="10"/>
        <rFont val="Calibri"/>
        <family val="2"/>
      </rPr>
      <t>Reducing Greenhouse Gas Emissions in Washington State Government</t>
    </r>
  </si>
  <si>
    <t>Enter data in yellow cells.</t>
  </si>
  <si>
    <t>https://www.epa.gov/energy/greenhouse-gases-equivalencies-calculator-calculations-and-references#pineforests</t>
  </si>
  <si>
    <t>CO2 captured per acre per year for avg US forest</t>
  </si>
  <si>
    <t>https://www.epa.gov/energy/greenhouse-gases-equivalencies-calculator-calculations-and-references#vehicles</t>
  </si>
  <si>
    <t>Avg US passenger vehicle driven for 1 year</t>
  </si>
  <si>
    <t>2023 calendar year (2022 emissions data)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</si>
</sst>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_(&quot;$&quot;* \(#,##0.00\);_(&quot;$&quot;* &quot;-&quot;??_);_(@_)"/>
    <numFmt numFmtId="43" formatCode="_(* #,##0.00_);_(* \(#,##0.00\);_(* &quot;-&quot;??_);_(@_)"/>
    <numFmt numFmtId="164" formatCode="0.00000"/>
    <numFmt numFmtId="165" formatCode="0.0000"/>
    <numFmt numFmtId="166" formatCode="0.000"/>
    <numFmt numFmtId="167" formatCode="0.000000"/>
    <numFmt numFmtId="168" formatCode="#,##0.0"/>
    <numFmt numFmtId="169" formatCode="_(* #,##0.0_);_(* \(#,##0.0\);_(* &quot;-&quot;??_);_(@_)"/>
    <numFmt numFmtId="170" formatCode="_(* #,##0_);_(* \(#,##0\);_(* &quot;-&quot;??_);_(@_)"/>
    <numFmt numFmtId="171" formatCode="_(* #,##0.000_);_(* \(#,##0.000\);_(* &quot;-&quot;??_);_(@_)"/>
    <numFmt numFmtId="172" formatCode="0.0"/>
    <numFmt numFmtId="173" formatCode="0.00000000"/>
    <numFmt numFmtId="174" formatCode="_(&quot;$&quot;* #,##0.000_);_(&quot;$&quot;* \(#,##0.000\);_(&quot;$&quot;* &quot;-&quot;??_);_(@_)"/>
    <numFmt numFmtId="175" formatCode="_(&quot;$&quot;* #,##0_);_(&quot;$&quot;* \(#,##0\);_(&quot;$&quot;* &quot;-&quot;??_);_(@_)"/>
    <numFmt numFmtId="176" formatCode="0.0%"/>
    <numFmt numFmtId="177" formatCode="#,###.000"/>
  </numFmts>
  <fonts count="5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Times New Roman"/>
      <family val="1"/>
    </font>
    <font>
      <u/>
      <sz val="11"/>
      <color theme="10"/>
      <name val="Calibri"/>
      <family val="2"/>
    </font>
    <font>
      <b/>
      <sz val="9"/>
      <color indexed="81"/>
      <name val="Tahoma"/>
      <family val="2"/>
    </font>
    <font>
      <sz val="9"/>
      <color indexed="81"/>
      <name val="Tahoma"/>
      <family val="2"/>
    </font>
    <font>
      <sz val="10"/>
      <color rgb="FF000000"/>
      <name val="Arial"/>
      <family val="2"/>
    </font>
    <font>
      <b/>
      <sz val="9"/>
      <color rgb="FF000000"/>
      <name val="Tahoma"/>
      <family val="2"/>
    </font>
    <font>
      <sz val="9"/>
      <color rgb="FF000000"/>
      <name val="Tahoma"/>
      <family val="2"/>
    </font>
    <font>
      <sz val="12"/>
      <color theme="1"/>
      <name val="Calibri"/>
      <family val="2"/>
      <scheme val="minor"/>
    </font>
    <font>
      <sz val="12"/>
      <color rgb="FFFF0000"/>
      <name val="Calibri"/>
      <family val="2"/>
      <scheme val="minor"/>
    </font>
    <font>
      <u/>
      <sz val="12"/>
      <color theme="10"/>
      <name val="Calibri"/>
      <family val="2"/>
    </font>
    <font>
      <b/>
      <sz val="12"/>
      <color theme="1"/>
      <name val="Calibri"/>
      <family val="2"/>
      <scheme val="minor"/>
    </font>
    <font>
      <b/>
      <sz val="18"/>
      <color theme="1"/>
      <name val="Calibri"/>
      <family val="2"/>
      <scheme val="minor"/>
    </font>
    <font>
      <b/>
      <sz val="11"/>
      <color rgb="FF000000"/>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sz val="9"/>
      <color rgb="FF000000"/>
      <name val="Calibri"/>
      <family val="2"/>
      <scheme val="minor"/>
    </font>
    <font>
      <b/>
      <sz val="12"/>
      <name val="Calibri"/>
      <family val="2"/>
      <scheme val="minor"/>
    </font>
    <font>
      <b/>
      <vertAlign val="subscript"/>
      <sz val="12"/>
      <name val="Calibri"/>
      <family val="2"/>
      <scheme val="minor"/>
    </font>
    <font>
      <sz val="12"/>
      <name val="Calibri"/>
      <family val="2"/>
      <scheme val="minor"/>
    </font>
    <font>
      <b/>
      <vertAlign val="subscript"/>
      <sz val="12"/>
      <color rgb="FF000000"/>
      <name val="Calibri"/>
      <family val="2"/>
      <scheme val="minor"/>
    </font>
    <font>
      <vertAlign val="subscript"/>
      <sz val="12"/>
      <color rgb="FF000000"/>
      <name val="Calibri"/>
      <family val="2"/>
      <scheme val="minor"/>
    </font>
    <font>
      <sz val="9"/>
      <name val="Calibri"/>
      <family val="2"/>
      <scheme val="minor"/>
    </font>
    <font>
      <b/>
      <sz val="11"/>
      <name val="Calibri"/>
      <family val="2"/>
      <scheme val="minor"/>
    </font>
    <font>
      <sz val="11"/>
      <name val="Calibri"/>
      <family val="2"/>
      <scheme val="minor"/>
    </font>
    <font>
      <b/>
      <sz val="14"/>
      <color theme="1"/>
      <name val="Calibri"/>
      <family val="2"/>
      <scheme val="minor"/>
    </font>
    <font>
      <b/>
      <sz val="16"/>
      <color theme="1"/>
      <name val="Calibri"/>
      <family val="2"/>
      <scheme val="minor"/>
    </font>
    <font>
      <b/>
      <vertAlign val="subscript"/>
      <sz val="11"/>
      <color theme="1"/>
      <name val="Calibri"/>
      <family val="2"/>
      <scheme val="minor"/>
    </font>
    <font>
      <b/>
      <sz val="18"/>
      <name val="Calibri"/>
      <family val="2"/>
      <scheme val="minor"/>
    </font>
    <font>
      <b/>
      <sz val="14"/>
      <color rgb="FF000000"/>
      <name val="Calibri"/>
      <family val="2"/>
      <scheme val="minor"/>
    </font>
    <font>
      <b/>
      <sz val="16"/>
      <color rgb="FF000000"/>
      <name val="Calibri"/>
      <family val="2"/>
      <scheme val="minor"/>
    </font>
    <font>
      <b/>
      <i/>
      <sz val="11"/>
      <color theme="1"/>
      <name val="Calibri"/>
      <family val="2"/>
      <scheme val="minor"/>
    </font>
    <font>
      <b/>
      <sz val="16"/>
      <color rgb="FFFF0000"/>
      <name val="Calibri"/>
      <family val="2"/>
      <scheme val="minor"/>
    </font>
    <font>
      <sz val="11"/>
      <color theme="5" tint="-0.249977111117893"/>
      <name val="Calibri"/>
      <family val="2"/>
      <scheme val="minor"/>
    </font>
    <font>
      <sz val="9"/>
      <color theme="1"/>
      <name val="Calibri"/>
      <family val="2"/>
      <scheme val="minor"/>
    </font>
    <font>
      <b/>
      <u/>
      <sz val="11"/>
      <color theme="1"/>
      <name val="Calibri"/>
      <family val="2"/>
      <scheme val="minor"/>
    </font>
    <font>
      <b/>
      <sz val="11"/>
      <color rgb="FFFF0000"/>
      <name val="Calibri"/>
      <family val="2"/>
      <scheme val="minor"/>
    </font>
    <font>
      <b/>
      <sz val="16"/>
      <color theme="0"/>
      <name val="Calibri"/>
      <family val="2"/>
      <scheme val="minor"/>
    </font>
    <font>
      <b/>
      <sz val="12"/>
      <color theme="0"/>
      <name val="Calibri"/>
      <family val="2"/>
      <scheme val="minor"/>
    </font>
    <font>
      <b/>
      <sz val="14"/>
      <name val="Calibri"/>
      <family val="2"/>
      <scheme val="minor"/>
    </font>
    <font>
      <b/>
      <vertAlign val="subscript"/>
      <sz val="14"/>
      <color theme="1"/>
      <name val="Calibri"/>
      <family val="2"/>
      <scheme val="minor"/>
    </font>
    <font>
      <u/>
      <sz val="12"/>
      <color theme="1"/>
      <name val="Calibri"/>
      <family val="2"/>
      <scheme val="minor"/>
    </font>
    <font>
      <i/>
      <sz val="12"/>
      <color theme="1"/>
      <name val="Calibri"/>
      <family val="2"/>
      <scheme val="minor"/>
    </font>
    <font>
      <sz val="8"/>
      <color theme="1"/>
      <name val="Calibri"/>
      <family val="2"/>
      <scheme val="minor"/>
    </font>
    <font>
      <b/>
      <sz val="9"/>
      <color theme="1"/>
      <name val="Calibri"/>
      <family val="2"/>
      <scheme val="minor"/>
    </font>
    <font>
      <b/>
      <u/>
      <sz val="9"/>
      <color indexed="81"/>
      <name val="Tahoma"/>
      <family val="2"/>
    </font>
    <font>
      <sz val="9"/>
      <color indexed="10"/>
      <name val="Tahoma"/>
      <family val="2"/>
    </font>
    <font>
      <b/>
      <sz val="9"/>
      <color indexed="10"/>
      <name val="Tahoma"/>
      <family val="2"/>
    </font>
    <font>
      <u/>
      <sz val="10"/>
      <color theme="10"/>
      <name val="Calibri"/>
      <family val="2"/>
    </font>
    <font>
      <i/>
      <u/>
      <sz val="10"/>
      <color theme="10"/>
      <name val="Calibri"/>
      <family val="2"/>
    </font>
  </fonts>
  <fills count="26">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rgb="FFFCD5B4"/>
        <bgColor rgb="FF000000"/>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F3"/>
        <bgColor indexed="64"/>
      </patternFill>
    </fill>
    <fill>
      <patternFill patternType="solid">
        <fgColor theme="9" tint="0.39997558519241921"/>
        <bgColor indexed="64"/>
      </patternFill>
    </fill>
    <fill>
      <patternFill patternType="solid">
        <fgColor theme="4" tint="0.79998168889431442"/>
        <bgColor rgb="FF000000"/>
      </patternFill>
    </fill>
    <fill>
      <patternFill patternType="solid">
        <fgColor theme="0" tint="-4.9989318521683403E-2"/>
        <bgColor rgb="FF000000"/>
      </patternFill>
    </fill>
    <fill>
      <patternFill patternType="solid">
        <fgColor theme="5" tint="0.39997558519241921"/>
        <bgColor rgb="FF000000"/>
      </patternFill>
    </fill>
    <fill>
      <patternFill patternType="solid">
        <fgColor theme="5" tint="0.39997558519241921"/>
        <bgColor indexed="64"/>
      </patternFill>
    </fill>
    <fill>
      <patternFill patternType="solid">
        <fgColor theme="9" tint="0.59999389629810485"/>
        <bgColor rgb="FF000000"/>
      </patternFill>
    </fill>
    <fill>
      <patternFill patternType="solid">
        <fgColor theme="9" tint="0.39997558519241921"/>
        <bgColor rgb="FF000000"/>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79998168889431442"/>
        <bgColor rgb="FF000000"/>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44" fontId="1" fillId="0" borderId="0" applyFont="0" applyFill="0" applyBorder="0" applyAlignment="0" applyProtection="0"/>
  </cellStyleXfs>
  <cellXfs count="288">
    <xf numFmtId="0" fontId="0" fillId="0" borderId="0" xfId="0"/>
    <xf numFmtId="0" fontId="3" fillId="0" borderId="0" xfId="0" applyFont="1"/>
    <xf numFmtId="0" fontId="11" fillId="0" borderId="0" xfId="0" applyFont="1"/>
    <xf numFmtId="0" fontId="11" fillId="0" borderId="0" xfId="0" applyFont="1" applyAlignment="1">
      <alignment wrapText="1"/>
    </xf>
    <xf numFmtId="0" fontId="11" fillId="9" borderId="0" xfId="0" applyFont="1" applyFill="1" applyAlignment="1">
      <alignment wrapText="1"/>
    </xf>
    <xf numFmtId="0" fontId="19" fillId="0" borderId="0" xfId="2" applyNumberFormat="1" applyFont="1" applyFill="1" applyBorder="1"/>
    <xf numFmtId="10" fontId="19" fillId="0" borderId="0" xfId="2" applyNumberFormat="1" applyFont="1" applyFill="1" applyBorder="1"/>
    <xf numFmtId="0" fontId="3" fillId="0" borderId="0" xfId="0" applyFont="1" applyAlignment="1">
      <alignment horizontal="left" indent="2"/>
    </xf>
    <xf numFmtId="0" fontId="0" fillId="0" borderId="0" xfId="0" applyAlignment="1">
      <alignment horizontal="left" indent="2"/>
    </xf>
    <xf numFmtId="0" fontId="0" fillId="0" borderId="0" xfId="0" applyAlignment="1">
      <alignment horizontal="left" indent="5"/>
    </xf>
    <xf numFmtId="0" fontId="3" fillId="0" borderId="0" xfId="0" applyFont="1" applyAlignment="1">
      <alignment horizontal="center"/>
    </xf>
    <xf numFmtId="0" fontId="2" fillId="0" borderId="0" xfId="0" applyFont="1"/>
    <xf numFmtId="0" fontId="11" fillId="4" borderId="0" xfId="0" applyFont="1" applyFill="1" applyAlignment="1">
      <alignment wrapText="1"/>
    </xf>
    <xf numFmtId="0" fontId="11" fillId="4" borderId="0" xfId="0" applyFont="1" applyFill="1" applyAlignment="1">
      <alignment horizontal="left" wrapText="1" indent="3"/>
    </xf>
    <xf numFmtId="0" fontId="5" fillId="4" borderId="0" xfId="3" applyFill="1" applyAlignment="1" applyProtection="1">
      <alignment horizontal="left" wrapText="1" indent="5"/>
    </xf>
    <xf numFmtId="0" fontId="15" fillId="12" borderId="0" xfId="0" applyFont="1" applyFill="1" applyAlignment="1">
      <alignment horizontal="center"/>
    </xf>
    <xf numFmtId="0" fontId="11" fillId="9" borderId="0" xfId="0" applyFont="1" applyFill="1"/>
    <xf numFmtId="0" fontId="11" fillId="9" borderId="0" xfId="0" applyFont="1" applyFill="1" applyAlignment="1">
      <alignment horizontal="left" vertical="center" indent="8"/>
    </xf>
    <xf numFmtId="10" fontId="18" fillId="4" borderId="0" xfId="2" applyNumberFormat="1" applyFont="1" applyFill="1" applyBorder="1"/>
    <xf numFmtId="0" fontId="0" fillId="0" borderId="0" xfId="0" applyAlignment="1">
      <alignment horizontal="left" wrapText="1" indent="5"/>
    </xf>
    <xf numFmtId="0" fontId="35" fillId="0" borderId="0" xfId="0" applyFont="1" applyAlignment="1">
      <alignment horizontal="left" indent="1"/>
    </xf>
    <xf numFmtId="0" fontId="15" fillId="4" borderId="0" xfId="0" applyFont="1" applyFill="1" applyAlignment="1">
      <alignment vertical="center"/>
    </xf>
    <xf numFmtId="0" fontId="5" fillId="0" borderId="0" xfId="3" applyFill="1" applyAlignment="1" applyProtection="1"/>
    <xf numFmtId="0" fontId="5" fillId="19" borderId="0" xfId="3" applyFill="1" applyAlignment="1" applyProtection="1"/>
    <xf numFmtId="0" fontId="30" fillId="19" borderId="0" xfId="0" applyFont="1" applyFill="1"/>
    <xf numFmtId="0" fontId="36" fillId="3" borderId="0" xfId="0" applyFont="1" applyFill="1" applyAlignment="1">
      <alignment horizontal="center" vertical="center" wrapText="1"/>
    </xf>
    <xf numFmtId="0" fontId="0" fillId="0" borderId="0" xfId="0" applyAlignment="1">
      <alignment horizontal="left" indent="8"/>
    </xf>
    <xf numFmtId="169" fontId="0" fillId="0" borderId="0" xfId="1" applyNumberFormat="1" applyFont="1" applyFill="1" applyBorder="1" applyAlignment="1" applyProtection="1">
      <alignment horizontal="center"/>
    </xf>
    <xf numFmtId="170" fontId="0" fillId="0" borderId="0" xfId="1" applyNumberFormat="1" applyFont="1" applyFill="1" applyBorder="1" applyProtection="1"/>
    <xf numFmtId="170" fontId="0" fillId="0" borderId="0" xfId="1" applyNumberFormat="1" applyFont="1" applyFill="1" applyBorder="1" applyAlignment="1" applyProtection="1">
      <alignment horizontal="center"/>
    </xf>
    <xf numFmtId="0" fontId="5" fillId="0" borderId="0" xfId="3" applyFill="1" applyBorder="1" applyAlignment="1" applyProtection="1"/>
    <xf numFmtId="174" fontId="19" fillId="0" borderId="0" xfId="5" applyNumberFormat="1" applyFont="1" applyFill="1" applyBorder="1" applyAlignment="1">
      <alignment horizontal="center"/>
    </xf>
    <xf numFmtId="0" fontId="3" fillId="0" borderId="0" xfId="0" applyFont="1" applyAlignment="1">
      <alignment horizontal="right"/>
    </xf>
    <xf numFmtId="0" fontId="5" fillId="0" borderId="0" xfId="3" applyFill="1" applyBorder="1" applyAlignment="1" applyProtection="1">
      <alignment horizontal="left"/>
    </xf>
    <xf numFmtId="44" fontId="0" fillId="0" borderId="0" xfId="5" applyFont="1" applyBorder="1"/>
    <xf numFmtId="44" fontId="19" fillId="0" borderId="0" xfId="5" applyFont="1" applyFill="1" applyBorder="1"/>
    <xf numFmtId="175" fontId="34" fillId="17" borderId="0" xfId="5" applyNumberFormat="1" applyFont="1" applyFill="1" applyBorder="1" applyAlignment="1">
      <alignment horizontal="center" wrapText="1"/>
    </xf>
    <xf numFmtId="175" fontId="34" fillId="18" borderId="0" xfId="5" applyNumberFormat="1" applyFont="1" applyFill="1" applyBorder="1" applyAlignment="1">
      <alignment horizontal="center" wrapText="1"/>
    </xf>
    <xf numFmtId="44" fontId="0" fillId="0" borderId="0" xfId="0" applyNumberFormat="1"/>
    <xf numFmtId="175" fontId="17" fillId="20" borderId="0" xfId="5" applyNumberFormat="1" applyFont="1" applyFill="1" applyBorder="1" applyAlignment="1">
      <alignment horizontal="center" wrapText="1"/>
    </xf>
    <xf numFmtId="175" fontId="17" fillId="20" borderId="2" xfId="5" applyNumberFormat="1" applyFont="1" applyFill="1" applyBorder="1" applyAlignment="1">
      <alignment horizontal="center" wrapText="1"/>
    </xf>
    <xf numFmtId="175" fontId="17" fillId="20" borderId="3" xfId="5" applyNumberFormat="1" applyFont="1" applyFill="1" applyBorder="1" applyAlignment="1">
      <alignment horizontal="center" wrapText="1"/>
    </xf>
    <xf numFmtId="175" fontId="17" fillId="20" borderId="6" xfId="5" applyNumberFormat="1" applyFont="1" applyFill="1" applyBorder="1" applyAlignment="1">
      <alignment horizontal="center" wrapText="1"/>
    </xf>
    <xf numFmtId="168" fontId="17" fillId="20" borderId="2" xfId="0" applyNumberFormat="1" applyFont="1" applyFill="1" applyBorder="1" applyAlignment="1">
      <alignment horizontal="center" wrapText="1"/>
    </xf>
    <xf numFmtId="168" fontId="17" fillId="14" borderId="3" xfId="0" applyNumberFormat="1" applyFont="1" applyFill="1" applyBorder="1" applyAlignment="1">
      <alignment horizontal="center" wrapText="1"/>
    </xf>
    <xf numFmtId="168" fontId="17" fillId="20" borderId="2" xfId="0" applyNumberFormat="1" applyFont="1" applyFill="1" applyBorder="1" applyAlignment="1">
      <alignment horizontal="center"/>
    </xf>
    <xf numFmtId="168" fontId="17" fillId="14" borderId="3" xfId="0" applyNumberFormat="1" applyFont="1" applyFill="1" applyBorder="1" applyAlignment="1">
      <alignment horizontal="center"/>
    </xf>
    <xf numFmtId="168" fontId="17" fillId="20" borderId="4" xfId="0" applyNumberFormat="1" applyFont="1" applyFill="1" applyBorder="1" applyAlignment="1">
      <alignment horizontal="center" wrapText="1"/>
    </xf>
    <xf numFmtId="168" fontId="17" fillId="20" borderId="5" xfId="0" applyNumberFormat="1" applyFont="1" applyFill="1" applyBorder="1" applyAlignment="1">
      <alignment horizontal="center" wrapText="1"/>
    </xf>
    <xf numFmtId="168" fontId="17" fillId="14" borderId="6" xfId="0" applyNumberFormat="1" applyFont="1" applyFill="1" applyBorder="1" applyAlignment="1">
      <alignment horizontal="center" wrapText="1"/>
    </xf>
    <xf numFmtId="3" fontId="17" fillId="21" borderId="2" xfId="0" applyNumberFormat="1" applyFont="1" applyFill="1" applyBorder="1" applyAlignment="1">
      <alignment horizontal="center" wrapText="1"/>
    </xf>
    <xf numFmtId="3" fontId="17" fillId="21" borderId="4" xfId="0" applyNumberFormat="1" applyFont="1" applyFill="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44" fontId="17" fillId="7" borderId="2" xfId="5" applyFont="1" applyFill="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44" fontId="17" fillId="7" borderId="4" xfId="5" applyFont="1" applyFill="1" applyBorder="1" applyAlignment="1">
      <alignment horizontal="center" wrapText="1"/>
    </xf>
    <xf numFmtId="3" fontId="17" fillId="14" borderId="3" xfId="0" applyNumberFormat="1" applyFont="1" applyFill="1" applyBorder="1" applyAlignment="1">
      <alignment horizontal="center" wrapText="1"/>
    </xf>
    <xf numFmtId="175" fontId="0" fillId="0" borderId="2" xfId="5" applyNumberFormat="1" applyFont="1" applyFill="1" applyBorder="1" applyAlignment="1">
      <alignment horizontal="center"/>
    </xf>
    <xf numFmtId="175" fontId="0" fillId="0" borderId="0" xfId="5" applyNumberFormat="1" applyFont="1" applyFill="1" applyBorder="1" applyAlignment="1">
      <alignment horizontal="center"/>
    </xf>
    <xf numFmtId="175" fontId="0" fillId="20" borderId="2" xfId="5" applyNumberFormat="1" applyFont="1" applyFill="1" applyBorder="1" applyAlignment="1">
      <alignment horizontal="center"/>
    </xf>
    <xf numFmtId="175" fontId="0" fillId="20" borderId="0" xfId="5" applyNumberFormat="1" applyFont="1" applyFill="1" applyBorder="1" applyAlignment="1">
      <alignment horizontal="center"/>
    </xf>
    <xf numFmtId="3" fontId="0" fillId="20" borderId="3" xfId="0" applyNumberFormat="1" applyFill="1" applyBorder="1" applyAlignment="1">
      <alignment horizontal="center"/>
    </xf>
    <xf numFmtId="175" fontId="0" fillId="20" borderId="4" xfId="5" applyNumberFormat="1" applyFont="1" applyFill="1" applyBorder="1" applyAlignment="1">
      <alignment horizontal="center"/>
    </xf>
    <xf numFmtId="175" fontId="0" fillId="20" borderId="5" xfId="5" applyNumberFormat="1" applyFont="1" applyFill="1" applyBorder="1" applyAlignment="1">
      <alignment horizontal="center"/>
    </xf>
    <xf numFmtId="0" fontId="14" fillId="20" borderId="9" xfId="0" applyFont="1" applyFill="1" applyBorder="1"/>
    <xf numFmtId="3" fontId="16" fillId="20" borderId="2" xfId="0" applyNumberFormat="1" applyFont="1" applyFill="1" applyBorder="1" applyAlignment="1">
      <alignment horizontal="left" wrapText="1"/>
    </xf>
    <xf numFmtId="0" fontId="3" fillId="20" borderId="3" xfId="0" applyFont="1" applyFill="1" applyBorder="1" applyAlignment="1">
      <alignment horizontal="center"/>
    </xf>
    <xf numFmtId="1" fontId="3" fillId="20" borderId="3" xfId="0" applyNumberFormat="1" applyFont="1" applyFill="1" applyBorder="1" applyAlignment="1">
      <alignment horizontal="center"/>
    </xf>
    <xf numFmtId="0" fontId="0" fillId="0" borderId="2" xfId="0" applyBorder="1"/>
    <xf numFmtId="0" fontId="0" fillId="0" borderId="3" xfId="0" applyBorder="1"/>
    <xf numFmtId="0" fontId="3" fillId="0" borderId="2" xfId="0" applyFont="1" applyBorder="1" applyAlignment="1">
      <alignment horizontal="center"/>
    </xf>
    <xf numFmtId="0" fontId="0" fillId="0" borderId="4" xfId="0" applyBorder="1"/>
    <xf numFmtId="0" fontId="0" fillId="0" borderId="5" xfId="0" applyBorder="1"/>
    <xf numFmtId="0" fontId="0" fillId="0" borderId="6" xfId="0" applyBorder="1"/>
    <xf numFmtId="0" fontId="5" fillId="0" borderId="2" xfId="3" applyBorder="1" applyAlignment="1" applyProtection="1"/>
    <xf numFmtId="0" fontId="21" fillId="14" borderId="3" xfId="0" applyFont="1" applyFill="1" applyBorder="1" applyAlignment="1">
      <alignment horizontal="center" wrapText="1"/>
    </xf>
    <xf numFmtId="0" fontId="0" fillId="0" borderId="0" xfId="0" applyAlignment="1">
      <alignment horizontal="center"/>
    </xf>
    <xf numFmtId="0" fontId="12" fillId="0" borderId="0" xfId="0" applyFont="1"/>
    <xf numFmtId="174" fontId="18" fillId="0" borderId="0" xfId="5" applyNumberFormat="1" applyFont="1" applyFill="1" applyBorder="1" applyAlignment="1">
      <alignment horizontal="center"/>
    </xf>
    <xf numFmtId="9" fontId="17" fillId="0" borderId="3" xfId="2" applyFont="1" applyFill="1" applyBorder="1" applyAlignment="1">
      <alignment horizontal="center" wrapText="1"/>
    </xf>
    <xf numFmtId="9" fontId="17" fillId="21" borderId="3" xfId="2" applyFont="1" applyFill="1" applyBorder="1" applyAlignment="1">
      <alignment horizontal="center" wrapText="1"/>
    </xf>
    <xf numFmtId="9" fontId="17" fillId="0" borderId="6" xfId="2" applyFont="1" applyFill="1" applyBorder="1" applyAlignment="1">
      <alignment horizontal="center" wrapText="1"/>
    </xf>
    <xf numFmtId="169" fontId="33" fillId="0" borderId="0" xfId="1" applyNumberFormat="1" applyFont="1" applyFill="1" applyBorder="1" applyAlignment="1">
      <alignment horizontal="center" vertical="center"/>
    </xf>
    <xf numFmtId="175" fontId="0" fillId="20" borderId="1" xfId="5" applyNumberFormat="1" applyFont="1" applyFill="1" applyBorder="1" applyAlignment="1">
      <alignment horizontal="center"/>
    </xf>
    <xf numFmtId="0" fontId="17" fillId="20" borderId="1" xfId="0" applyFont="1" applyFill="1" applyBorder="1" applyAlignment="1">
      <alignment wrapText="1"/>
    </xf>
    <xf numFmtId="171" fontId="19" fillId="0" borderId="0" xfId="1" applyNumberFormat="1" applyFont="1" applyFill="1" applyBorder="1"/>
    <xf numFmtId="0" fontId="29" fillId="0" borderId="0" xfId="0" applyFont="1"/>
    <xf numFmtId="0" fontId="5" fillId="9" borderId="0" xfId="3" applyFill="1" applyAlignment="1" applyProtection="1">
      <alignment horizontal="center" wrapText="1"/>
    </xf>
    <xf numFmtId="0" fontId="5" fillId="9" borderId="0" xfId="3" applyFill="1" applyAlignment="1" applyProtection="1">
      <alignment horizontal="left" vertical="center" indent="8"/>
    </xf>
    <xf numFmtId="0" fontId="14" fillId="9" borderId="0" xfId="0" applyFont="1" applyFill="1" applyAlignment="1">
      <alignment horizontal="left" wrapText="1" indent="1"/>
    </xf>
    <xf numFmtId="0" fontId="13" fillId="4" borderId="0" xfId="3" applyFont="1" applyFill="1" applyBorder="1" applyAlignment="1" applyProtection="1">
      <alignment horizontal="left"/>
    </xf>
    <xf numFmtId="0" fontId="14" fillId="23" borderId="0" xfId="0" applyFont="1" applyFill="1" applyAlignment="1">
      <alignment wrapText="1"/>
    </xf>
    <xf numFmtId="0" fontId="14" fillId="24" borderId="0" xfId="0" applyFont="1" applyFill="1" applyAlignment="1">
      <alignment horizontal="left"/>
    </xf>
    <xf numFmtId="0" fontId="3" fillId="25" borderId="0" xfId="0" applyFont="1" applyFill="1" applyAlignment="1">
      <alignment wrapText="1"/>
    </xf>
    <xf numFmtId="0" fontId="0" fillId="25" borderId="0" xfId="0" applyFill="1" applyAlignment="1">
      <alignment horizontal="left" wrapText="1" indent="1"/>
    </xf>
    <xf numFmtId="0" fontId="0" fillId="0" borderId="0" xfId="0" applyProtection="1">
      <protection locked="0"/>
    </xf>
    <xf numFmtId="0" fontId="41" fillId="2" borderId="0" xfId="0" applyFont="1" applyFill="1" applyAlignment="1">
      <alignment horizontal="left" vertical="center"/>
    </xf>
    <xf numFmtId="0" fontId="4" fillId="2" borderId="0" xfId="0" applyFont="1" applyFill="1" applyAlignment="1">
      <alignment horizontal="left"/>
    </xf>
    <xf numFmtId="0" fontId="0" fillId="8" borderId="0" xfId="0" applyFill="1" applyAlignment="1" applyProtection="1">
      <alignment horizontal="center"/>
      <protection locked="0"/>
    </xf>
    <xf numFmtId="14" fontId="0" fillId="10" borderId="0" xfId="0" applyNumberFormat="1" applyFill="1" applyAlignment="1" applyProtection="1">
      <alignment horizontal="center"/>
      <protection locked="0"/>
    </xf>
    <xf numFmtId="0" fontId="28" fillId="4" borderId="0" xfId="0" applyFont="1" applyFill="1" applyAlignment="1">
      <alignment vertical="top" wrapText="1"/>
    </xf>
    <xf numFmtId="0" fontId="47" fillId="0" borderId="0" xfId="0" applyFont="1" applyAlignment="1">
      <alignment horizontal="center" wrapText="1"/>
    </xf>
    <xf numFmtId="0" fontId="3" fillId="0" borderId="0" xfId="0" applyFont="1" applyAlignment="1">
      <alignment horizontal="left"/>
    </xf>
    <xf numFmtId="0" fontId="0" fillId="0" borderId="0" xfId="0" applyAlignment="1" applyProtection="1">
      <alignment horizontal="center"/>
      <protection locked="0"/>
    </xf>
    <xf numFmtId="0" fontId="0" fillId="0" borderId="0" xfId="0" applyAlignment="1">
      <alignment horizontal="left" wrapText="1" indent="3"/>
    </xf>
    <xf numFmtId="170" fontId="0" fillId="8" borderId="0" xfId="1" applyNumberFormat="1" applyFont="1" applyFill="1" applyBorder="1" applyAlignment="1" applyProtection="1">
      <alignment horizontal="center"/>
      <protection locked="0"/>
    </xf>
    <xf numFmtId="9" fontId="47" fillId="0" borderId="0" xfId="2" applyFont="1" applyAlignment="1" applyProtection="1">
      <alignment horizontal="center"/>
    </xf>
    <xf numFmtId="0" fontId="0" fillId="0" borderId="0" xfId="0" applyAlignment="1">
      <alignment horizontal="left" wrapText="1" indent="7"/>
    </xf>
    <xf numFmtId="170" fontId="0" fillId="10" borderId="0" xfId="1" applyNumberFormat="1" applyFont="1" applyFill="1" applyBorder="1" applyAlignment="1" applyProtection="1">
      <alignment horizontal="center"/>
    </xf>
    <xf numFmtId="9" fontId="0" fillId="0" borderId="0" xfId="0" applyNumberFormat="1"/>
    <xf numFmtId="170" fontId="0" fillId="8" borderId="0" xfId="1" applyNumberFormat="1" applyFont="1" applyFill="1" applyAlignment="1" applyProtection="1">
      <alignment horizontal="center"/>
      <protection locked="0"/>
    </xf>
    <xf numFmtId="0" fontId="0" fillId="0" borderId="3" xfId="0" applyBorder="1" applyAlignment="1">
      <alignment horizontal="center"/>
    </xf>
    <xf numFmtId="0" fontId="0" fillId="0" borderId="0" xfId="0" applyAlignment="1">
      <alignment horizontal="left" vertical="center" wrapText="1" indent="5"/>
    </xf>
    <xf numFmtId="0" fontId="38" fillId="0" borderId="0" xfId="0" applyFont="1" applyAlignment="1">
      <alignment vertical="top" wrapText="1"/>
    </xf>
    <xf numFmtId="0" fontId="27" fillId="2" borderId="0" xfId="0" applyFont="1" applyFill="1" applyAlignment="1">
      <alignment horizontal="left"/>
    </xf>
    <xf numFmtId="9" fontId="0" fillId="11" borderId="0" xfId="0" applyNumberFormat="1" applyFill="1" applyAlignment="1" applyProtection="1">
      <alignment horizontal="center"/>
      <protection locked="0"/>
    </xf>
    <xf numFmtId="0" fontId="42" fillId="2" borderId="0" xfId="0" applyFont="1" applyFill="1" applyAlignment="1">
      <alignment horizontal="left" vertical="center"/>
    </xf>
    <xf numFmtId="0" fontId="0" fillId="2" borderId="0" xfId="0" applyFill="1"/>
    <xf numFmtId="0" fontId="47" fillId="0" borderId="0" xfId="0" applyFont="1" applyAlignment="1">
      <alignment horizontal="center" vertical="center" wrapText="1"/>
    </xf>
    <xf numFmtId="0" fontId="29" fillId="5" borderId="10" xfId="0" applyFont="1" applyFill="1" applyBorder="1" applyAlignment="1">
      <alignment horizontal="right"/>
    </xf>
    <xf numFmtId="0" fontId="29" fillId="5" borderId="12" xfId="0" applyFont="1" applyFill="1" applyBorder="1"/>
    <xf numFmtId="0" fontId="29" fillId="5" borderId="13" xfId="0" applyFont="1" applyFill="1" applyBorder="1" applyAlignment="1">
      <alignment horizontal="right"/>
    </xf>
    <xf numFmtId="0" fontId="29" fillId="5" borderId="14" xfId="0" applyFont="1" applyFill="1" applyBorder="1"/>
    <xf numFmtId="0" fontId="29" fillId="6" borderId="15" xfId="0" applyFont="1" applyFill="1" applyBorder="1" applyAlignment="1">
      <alignment horizontal="right"/>
    </xf>
    <xf numFmtId="0" fontId="29" fillId="6" borderId="17" xfId="0" applyFont="1" applyFill="1" applyBorder="1"/>
    <xf numFmtId="0" fontId="43" fillId="4" borderId="0" xfId="0" applyFont="1" applyFill="1" applyAlignment="1">
      <alignment horizontal="left" vertical="center"/>
    </xf>
    <xf numFmtId="0" fontId="27" fillId="4" borderId="0" xfId="0" applyFont="1" applyFill="1" applyAlignment="1">
      <alignment horizontal="left"/>
    </xf>
    <xf numFmtId="0" fontId="3" fillId="0" borderId="0" xfId="0" applyFont="1" applyAlignment="1">
      <alignment horizontal="center" vertical="center" wrapText="1"/>
    </xf>
    <xf numFmtId="0" fontId="29" fillId="6" borderId="0" xfId="0" applyFont="1" applyFill="1" applyAlignment="1">
      <alignment horizontal="right"/>
    </xf>
    <xf numFmtId="0" fontId="40" fillId="4" borderId="0" xfId="0" applyFont="1" applyFill="1" applyAlignment="1">
      <alignment horizontal="left"/>
    </xf>
    <xf numFmtId="169" fontId="0" fillId="5" borderId="0" xfId="1" applyNumberFormat="1" applyFont="1" applyFill="1" applyBorder="1" applyAlignment="1" applyProtection="1">
      <alignment horizontal="center"/>
    </xf>
    <xf numFmtId="169" fontId="0" fillId="5" borderId="0" xfId="1" applyNumberFormat="1" applyFont="1" applyFill="1" applyBorder="1" applyProtection="1"/>
    <xf numFmtId="169" fontId="0" fillId="0" borderId="0" xfId="0" applyNumberFormat="1"/>
    <xf numFmtId="0" fontId="29" fillId="6" borderId="0" xfId="0" applyFont="1" applyFill="1" applyAlignment="1">
      <alignment horizontal="right" vertical="center"/>
    </xf>
    <xf numFmtId="169" fontId="0" fillId="6" borderId="0" xfId="1" applyNumberFormat="1" applyFont="1" applyFill="1" applyBorder="1" applyAlignment="1" applyProtection="1">
      <alignment horizontal="center" vertical="center"/>
    </xf>
    <xf numFmtId="0" fontId="32" fillId="15" borderId="0" xfId="0" applyFont="1" applyFill="1" applyAlignment="1">
      <alignment horizontal="left"/>
    </xf>
    <xf numFmtId="0" fontId="21" fillId="15" borderId="0" xfId="0" applyFont="1" applyFill="1" applyAlignment="1">
      <alignment horizontal="left"/>
    </xf>
    <xf numFmtId="0" fontId="19" fillId="16" borderId="0" xfId="0" applyFont="1" applyFill="1"/>
    <xf numFmtId="0" fontId="19" fillId="0" borderId="0" xfId="0" applyFont="1"/>
    <xf numFmtId="0" fontId="21" fillId="13" borderId="0" xfId="0" applyFont="1" applyFill="1" applyAlignment="1">
      <alignment horizontal="left"/>
    </xf>
    <xf numFmtId="164" fontId="12" fillId="0" borderId="0" xfId="0" applyNumberFormat="1" applyFont="1"/>
    <xf numFmtId="173" fontId="12" fillId="0" borderId="0" xfId="0" applyNumberFormat="1" applyFont="1"/>
    <xf numFmtId="172" fontId="19" fillId="0" borderId="0" xfId="0" applyNumberFormat="1" applyFont="1"/>
    <xf numFmtId="0" fontId="18" fillId="14" borderId="0" xfId="0" applyFont="1" applyFill="1" applyAlignment="1">
      <alignment horizontal="left" wrapText="1"/>
    </xf>
    <xf numFmtId="0" fontId="18" fillId="14" borderId="0" xfId="0" applyFont="1" applyFill="1" applyAlignment="1">
      <alignment horizontal="right" wrapText="1"/>
    </xf>
    <xf numFmtId="0" fontId="19" fillId="0" borderId="0" xfId="0" applyFont="1" applyAlignment="1">
      <alignment wrapText="1"/>
    </xf>
    <xf numFmtId="0" fontId="0" fillId="20" borderId="0" xfId="0" applyFill="1" applyAlignment="1">
      <alignment horizontal="right"/>
    </xf>
    <xf numFmtId="0" fontId="19" fillId="0" borderId="0" xfId="0" applyFont="1" applyAlignment="1">
      <alignment horizontal="left"/>
    </xf>
    <xf numFmtId="0" fontId="23" fillId="0" borderId="0" xfId="0" applyFont="1" applyAlignment="1">
      <alignment horizontal="right"/>
    </xf>
    <xf numFmtId="164" fontId="23" fillId="0" borderId="0" xfId="0" applyNumberFormat="1" applyFont="1" applyAlignment="1">
      <alignment horizontal="right"/>
    </xf>
    <xf numFmtId="11" fontId="19" fillId="0" borderId="0" xfId="0" applyNumberFormat="1" applyFont="1" applyAlignment="1">
      <alignment horizontal="right"/>
    </xf>
    <xf numFmtId="0" fontId="19" fillId="0" borderId="0" xfId="0" applyFont="1" applyAlignment="1">
      <alignment horizontal="right"/>
    </xf>
    <xf numFmtId="165" fontId="19" fillId="0" borderId="0" xfId="0" applyNumberFormat="1" applyFont="1" applyAlignment="1">
      <alignment horizontal="right"/>
    </xf>
    <xf numFmtId="0" fontId="20" fillId="0" borderId="0" xfId="0" applyFont="1" applyAlignment="1">
      <alignment horizontal="left"/>
    </xf>
    <xf numFmtId="0" fontId="21" fillId="14" borderId="0" xfId="0" applyFont="1" applyFill="1" applyAlignment="1">
      <alignment horizontal="right" wrapText="1"/>
    </xf>
    <xf numFmtId="0" fontId="0" fillId="20" borderId="0" xfId="0" applyFill="1"/>
    <xf numFmtId="166" fontId="19" fillId="0" borderId="0" xfId="0" applyNumberFormat="1" applyFont="1" applyAlignment="1">
      <alignment horizontal="right"/>
    </xf>
    <xf numFmtId="167" fontId="19" fillId="0" borderId="0" xfId="0" applyNumberFormat="1" applyFont="1" applyAlignment="1">
      <alignment horizontal="right"/>
    </xf>
    <xf numFmtId="164" fontId="19" fillId="0" borderId="0" xfId="0" applyNumberFormat="1" applyFont="1" applyAlignment="1">
      <alignment horizontal="right"/>
    </xf>
    <xf numFmtId="0" fontId="12" fillId="0" borderId="0" xfId="0" applyFont="1" applyAlignment="1">
      <alignment horizontal="right"/>
    </xf>
    <xf numFmtId="0" fontId="26" fillId="0" borderId="0" xfId="0" applyFont="1"/>
    <xf numFmtId="0" fontId="20" fillId="0" borderId="0" xfId="0" applyFont="1"/>
    <xf numFmtId="0" fontId="19" fillId="13" borderId="0" xfId="0" applyFont="1" applyFill="1"/>
    <xf numFmtId="0" fontId="18" fillId="4" borderId="0" xfId="0" applyFont="1" applyFill="1"/>
    <xf numFmtId="0" fontId="19" fillId="0" borderId="0" xfId="4" applyFont="1" applyAlignment="1">
      <alignment wrapText="1"/>
    </xf>
    <xf numFmtId="0" fontId="12" fillId="0" borderId="0" xfId="4" applyFont="1" applyAlignment="1">
      <alignment horizontal="left"/>
    </xf>
    <xf numFmtId="0" fontId="21" fillId="13" borderId="0" xfId="0" applyFont="1" applyFill="1" applyAlignment="1">
      <alignment horizontal="center"/>
    </xf>
    <xf numFmtId="0" fontId="19" fillId="0" borderId="0" xfId="4" applyFont="1" applyAlignment="1">
      <alignment horizontal="center" wrapText="1"/>
    </xf>
    <xf numFmtId="0" fontId="19" fillId="0" borderId="0" xfId="0" applyFont="1" applyAlignment="1">
      <alignment horizontal="center"/>
    </xf>
    <xf numFmtId="0" fontId="23" fillId="0" borderId="0" xfId="0" applyFont="1" applyAlignment="1">
      <alignment horizontal="left"/>
    </xf>
    <xf numFmtId="0" fontId="18" fillId="0" borderId="0" xfId="0" applyFont="1"/>
    <xf numFmtId="4" fontId="18" fillId="0" borderId="0" xfId="0" applyNumberFormat="1" applyFont="1"/>
    <xf numFmtId="0" fontId="21" fillId="13" borderId="0" xfId="0" applyFont="1" applyFill="1" applyAlignment="1">
      <alignment horizontal="center" vertical="center"/>
    </xf>
    <xf numFmtId="0" fontId="21" fillId="13" borderId="0" xfId="0" applyFont="1" applyFill="1" applyAlignment="1">
      <alignment horizontal="center" vertical="center" wrapText="1"/>
    </xf>
    <xf numFmtId="0" fontId="19" fillId="0" borderId="0" xfId="0" applyFont="1" applyAlignment="1">
      <alignment horizontal="right" wrapText="1"/>
    </xf>
    <xf numFmtId="177" fontId="0" fillId="0" borderId="0" xfId="0" applyNumberFormat="1"/>
    <xf numFmtId="0" fontId="0" fillId="0" borderId="0" xfId="0" applyAlignment="1">
      <alignment horizontal="left" indent="3"/>
    </xf>
    <xf numFmtId="0" fontId="17" fillId="0" borderId="0" xfId="0" applyFont="1" applyAlignment="1">
      <alignment horizontal="left" wrapText="1" indent="3"/>
    </xf>
    <xf numFmtId="0" fontId="0" fillId="0" borderId="0" xfId="0" applyAlignment="1">
      <alignment vertical="top" wrapText="1"/>
    </xf>
    <xf numFmtId="0" fontId="0" fillId="0" borderId="0" xfId="0" applyAlignment="1">
      <alignment vertical="top"/>
    </xf>
    <xf numFmtId="0" fontId="28" fillId="0" borderId="0" xfId="0" applyFont="1" applyAlignment="1">
      <alignment horizontal="left" wrapText="1"/>
    </xf>
    <xf numFmtId="0" fontId="0" fillId="19" borderId="0" xfId="0" applyFill="1"/>
    <xf numFmtId="0" fontId="34" fillId="0" borderId="0" xfId="0" applyFont="1" applyAlignment="1">
      <alignment horizontal="right"/>
    </xf>
    <xf numFmtId="1" fontId="34" fillId="15" borderId="0" xfId="0" applyNumberFormat="1" applyFont="1" applyFill="1" applyAlignment="1">
      <alignment horizontal="center" wrapText="1"/>
    </xf>
    <xf numFmtId="0" fontId="17" fillId="0" borderId="0" xfId="0" applyFont="1"/>
    <xf numFmtId="3" fontId="16" fillId="0" borderId="1" xfId="0" applyNumberFormat="1" applyFont="1" applyBorder="1" applyAlignment="1">
      <alignment horizontal="center" wrapText="1"/>
    </xf>
    <xf numFmtId="3" fontId="16" fillId="0" borderId="0" xfId="0" applyNumberFormat="1" applyFont="1" applyAlignment="1">
      <alignment horizontal="center" wrapText="1"/>
    </xf>
    <xf numFmtId="0" fontId="0" fillId="20" borderId="7" xfId="0" applyFill="1" applyBorder="1"/>
    <xf numFmtId="0" fontId="0" fillId="20" borderId="9" xfId="0" applyFill="1" applyBorder="1"/>
    <xf numFmtId="0" fontId="0" fillId="20" borderId="8" xfId="0" applyFill="1" applyBorder="1"/>
    <xf numFmtId="0" fontId="16" fillId="0" borderId="0" xfId="0" applyFont="1" applyAlignment="1">
      <alignment wrapText="1"/>
    </xf>
    <xf numFmtId="0" fontId="16" fillId="0" borderId="1" xfId="0" applyFont="1" applyBorder="1" applyAlignment="1">
      <alignment horizontal="center" wrapText="1"/>
    </xf>
    <xf numFmtId="0" fontId="3" fillId="20" borderId="0" xfId="0" applyFont="1" applyFill="1" applyAlignment="1">
      <alignment horizontal="center" wrapText="1"/>
    </xf>
    <xf numFmtId="0" fontId="3" fillId="20" borderId="0" xfId="0" applyFont="1" applyFill="1" applyAlignment="1">
      <alignment horizontal="center"/>
    </xf>
    <xf numFmtId="1" fontId="0" fillId="0" borderId="0" xfId="0" applyNumberFormat="1"/>
    <xf numFmtId="168" fontId="17" fillId="20" borderId="0" xfId="0" applyNumberFormat="1" applyFont="1" applyFill="1" applyAlignment="1">
      <alignment horizontal="center" wrapText="1"/>
    </xf>
    <xf numFmtId="0" fontId="0" fillId="20" borderId="2" xfId="0" applyFill="1" applyBorder="1"/>
    <xf numFmtId="1" fontId="3" fillId="20" borderId="0" xfId="0" applyNumberFormat="1" applyFont="1" applyFill="1" applyAlignment="1">
      <alignment horizontal="center"/>
    </xf>
    <xf numFmtId="3" fontId="0" fillId="0" borderId="0" xfId="0" applyNumberFormat="1"/>
    <xf numFmtId="3" fontId="17" fillId="0" borderId="2" xfId="0" applyNumberFormat="1" applyFont="1" applyBorder="1" applyAlignment="1">
      <alignment horizontal="center" wrapText="1"/>
    </xf>
    <xf numFmtId="168" fontId="17" fillId="0" borderId="2" xfId="0" applyNumberFormat="1" applyFont="1" applyBorder="1" applyAlignment="1">
      <alignment horizontal="center" wrapText="1"/>
    </xf>
    <xf numFmtId="168" fontId="17" fillId="0" borderId="0" xfId="0" applyNumberFormat="1" applyFont="1" applyAlignment="1">
      <alignment horizontal="center" wrapText="1"/>
    </xf>
    <xf numFmtId="168" fontId="17" fillId="0" borderId="3" xfId="0" applyNumberFormat="1" applyFont="1" applyBorder="1" applyAlignment="1">
      <alignment horizontal="center" wrapText="1"/>
    </xf>
    <xf numFmtId="0" fontId="0" fillId="20" borderId="1" xfId="0" applyFill="1" applyBorder="1" applyAlignment="1">
      <alignment wrapText="1"/>
    </xf>
    <xf numFmtId="172" fontId="0" fillId="20" borderId="1" xfId="0" applyNumberFormat="1" applyFill="1" applyBorder="1" applyAlignment="1">
      <alignment horizontal="center"/>
    </xf>
    <xf numFmtId="168" fontId="17" fillId="20" borderId="0" xfId="0" applyNumberFormat="1" applyFont="1" applyFill="1" applyAlignment="1">
      <alignment horizontal="center"/>
    </xf>
    <xf numFmtId="3" fontId="17" fillId="0" borderId="0" xfId="0" applyNumberFormat="1" applyFont="1"/>
    <xf numFmtId="168" fontId="17" fillId="0" borderId="0" xfId="0" applyNumberFormat="1" applyFont="1" applyAlignment="1">
      <alignment horizontal="center"/>
    </xf>
    <xf numFmtId="4" fontId="16" fillId="0" borderId="0" xfId="0" applyNumberFormat="1" applyFont="1" applyAlignment="1">
      <alignment horizontal="center" wrapText="1"/>
    </xf>
    <xf numFmtId="168" fontId="18" fillId="22" borderId="0" xfId="0" applyNumberFormat="1" applyFont="1" applyFill="1" applyAlignment="1">
      <alignment horizontal="center" wrapText="1"/>
    </xf>
    <xf numFmtId="0" fontId="34" fillId="0" borderId="0" xfId="0" applyFont="1"/>
    <xf numFmtId="168" fontId="34" fillId="18" borderId="0" xfId="0" applyNumberFormat="1" applyFont="1" applyFill="1" applyAlignment="1">
      <alignment horizontal="center" wrapText="1"/>
    </xf>
    <xf numFmtId="3" fontId="17" fillId="0" borderId="0" xfId="0" applyNumberFormat="1" applyFont="1" applyAlignment="1">
      <alignment horizontal="center"/>
    </xf>
    <xf numFmtId="3" fontId="16" fillId="0" borderId="2" xfId="0" applyNumberFormat="1" applyFont="1" applyBorder="1" applyAlignment="1">
      <alignment horizontal="center" wrapText="1"/>
    </xf>
    <xf numFmtId="3" fontId="16" fillId="0" borderId="3" xfId="0" applyNumberFormat="1" applyFont="1" applyBorder="1" applyAlignment="1">
      <alignment horizontal="center" wrapText="1"/>
    </xf>
    <xf numFmtId="0" fontId="0" fillId="0" borderId="2" xfId="0" applyBorder="1" applyAlignment="1">
      <alignment horizontal="center"/>
    </xf>
    <xf numFmtId="0" fontId="17" fillId="0" borderId="0" xfId="0" applyFont="1" applyAlignment="1">
      <alignment wrapText="1"/>
    </xf>
    <xf numFmtId="3" fontId="0" fillId="20" borderId="6" xfId="0" applyNumberFormat="1" applyFill="1" applyBorder="1" applyAlignment="1">
      <alignment horizontal="center"/>
    </xf>
    <xf numFmtId="0" fontId="34" fillId="19" borderId="0" xfId="0" applyFont="1" applyFill="1"/>
    <xf numFmtId="3" fontId="17" fillId="0" borderId="0" xfId="0" applyNumberFormat="1" applyFont="1" applyAlignment="1">
      <alignment vertical="center"/>
    </xf>
    <xf numFmtId="0" fontId="17" fillId="0" borderId="0" xfId="0" applyFont="1" applyAlignment="1">
      <alignment vertical="center"/>
    </xf>
    <xf numFmtId="9" fontId="0" fillId="0" borderId="0" xfId="0" applyNumberFormat="1" applyAlignment="1" applyProtection="1">
      <alignment horizontal="center"/>
      <protection locked="0"/>
    </xf>
    <xf numFmtId="169" fontId="0" fillId="5" borderId="0" xfId="1" applyNumberFormat="1" applyFont="1" applyFill="1" applyBorder="1" applyAlignment="1" applyProtection="1">
      <alignment horizontal="right"/>
    </xf>
    <xf numFmtId="169" fontId="0" fillId="0" borderId="0" xfId="1" applyNumberFormat="1" applyFont="1" applyProtection="1"/>
    <xf numFmtId="169" fontId="3" fillId="6" borderId="0" xfId="1" applyNumberFormat="1" applyFont="1" applyFill="1" applyBorder="1" applyAlignment="1" applyProtection="1">
      <alignment horizontal="center"/>
    </xf>
    <xf numFmtId="168" fontId="29" fillId="5" borderId="11" xfId="0" applyNumberFormat="1" applyFont="1" applyFill="1" applyBorder="1" applyAlignment="1">
      <alignment horizontal="center" vertical="center"/>
    </xf>
    <xf numFmtId="168" fontId="29" fillId="5" borderId="0" xfId="0" applyNumberFormat="1" applyFont="1" applyFill="1" applyAlignment="1">
      <alignment horizontal="center" vertical="center"/>
    </xf>
    <xf numFmtId="168" fontId="29" fillId="6" borderId="16" xfId="0" applyNumberFormat="1" applyFont="1" applyFill="1" applyBorder="1" applyAlignment="1">
      <alignment horizontal="center" vertical="center"/>
    </xf>
    <xf numFmtId="0" fontId="21" fillId="14" borderId="0" xfId="0" applyFont="1" applyFill="1" applyAlignment="1">
      <alignment horizontal="center" wrapText="1"/>
    </xf>
    <xf numFmtId="166" fontId="0" fillId="0" borderId="0" xfId="0" applyNumberFormat="1" applyAlignment="1">
      <alignment horizontal="right"/>
    </xf>
    <xf numFmtId="166" fontId="0" fillId="0" borderId="0" xfId="1" applyNumberFormat="1" applyFont="1" applyBorder="1"/>
    <xf numFmtId="166" fontId="0" fillId="0" borderId="3" xfId="1" applyNumberFormat="1" applyFont="1" applyBorder="1"/>
    <xf numFmtId="0" fontId="38" fillId="0" borderId="0" xfId="0" applyFont="1" applyAlignment="1">
      <alignment horizontal="right" vertical="top" wrapText="1"/>
    </xf>
    <xf numFmtId="0" fontId="21" fillId="14" borderId="9" xfId="0" applyFont="1" applyFill="1" applyBorder="1" applyAlignment="1">
      <alignment horizontal="right" wrapText="1"/>
    </xf>
    <xf numFmtId="0" fontId="21" fillId="14" borderId="7" xfId="0" applyFont="1" applyFill="1" applyBorder="1" applyAlignment="1">
      <alignment horizontal="right" wrapText="1"/>
    </xf>
    <xf numFmtId="0" fontId="21" fillId="14" borderId="8" xfId="0" applyFont="1" applyFill="1" applyBorder="1" applyAlignment="1">
      <alignment horizontal="right" wrapText="1"/>
    </xf>
    <xf numFmtId="166" fontId="3" fillId="0" borderId="0" xfId="1" applyNumberFormat="1" applyFont="1" applyBorder="1"/>
    <xf numFmtId="176" fontId="0" fillId="11" borderId="0" xfId="0" applyNumberFormat="1" applyFill="1" applyAlignment="1" applyProtection="1">
      <alignment horizontal="center"/>
      <protection locked="0"/>
    </xf>
    <xf numFmtId="0" fontId="38" fillId="0" borderId="0" xfId="0" applyFont="1"/>
    <xf numFmtId="0" fontId="38" fillId="0" borderId="0" xfId="0" applyFont="1" applyAlignment="1">
      <alignment wrapText="1"/>
    </xf>
    <xf numFmtId="0" fontId="14" fillId="0" borderId="0" xfId="0" applyFont="1" applyAlignment="1">
      <alignment wrapText="1"/>
    </xf>
    <xf numFmtId="1" fontId="14" fillId="0" borderId="0" xfId="0" applyNumberFormat="1" applyFont="1" applyAlignment="1">
      <alignment horizontal="center" wrapText="1"/>
    </xf>
    <xf numFmtId="0" fontId="14" fillId="0" borderId="0" xfId="0" applyFont="1" applyAlignment="1">
      <alignment horizontal="center" wrapText="1"/>
    </xf>
    <xf numFmtId="1" fontId="14" fillId="3" borderId="0" xfId="0" applyNumberFormat="1" applyFont="1" applyFill="1" applyAlignment="1">
      <alignment horizontal="center" wrapText="1"/>
    </xf>
    <xf numFmtId="170" fontId="14" fillId="0" borderId="0" xfId="1" applyNumberFormat="1" applyFont="1" applyFill="1" applyBorder="1" applyAlignment="1">
      <alignment horizontal="right"/>
    </xf>
    <xf numFmtId="170" fontId="11" fillId="0" borderId="0" xfId="1" applyNumberFormat="1" applyFont="1" applyFill="1" applyBorder="1" applyAlignment="1">
      <alignment horizontal="right"/>
    </xf>
    <xf numFmtId="170" fontId="11" fillId="0" borderId="0" xfId="1" applyNumberFormat="1" applyFont="1" applyFill="1" applyBorder="1"/>
    <xf numFmtId="170" fontId="11" fillId="3" borderId="0" xfId="1" applyNumberFormat="1" applyFont="1" applyFill="1" applyBorder="1" applyAlignment="1"/>
    <xf numFmtId="170" fontId="11" fillId="9" borderId="0" xfId="0" applyNumberFormat="1" applyFont="1" applyFill="1"/>
    <xf numFmtId="170" fontId="11" fillId="22" borderId="0" xfId="0" applyNumberFormat="1" applyFont="1" applyFill="1"/>
    <xf numFmtId="170" fontId="11" fillId="12" borderId="0" xfId="0" applyNumberFormat="1" applyFont="1" applyFill="1"/>
    <xf numFmtId="170" fontId="46" fillId="0" borderId="0" xfId="1" applyNumberFormat="1" applyFont="1" applyFill="1" applyBorder="1" applyAlignment="1">
      <alignment horizontal="right"/>
    </xf>
    <xf numFmtId="170" fontId="46" fillId="0" borderId="0" xfId="1" applyNumberFormat="1" applyFont="1" applyFill="1" applyBorder="1"/>
    <xf numFmtId="0" fontId="14" fillId="0" borderId="0" xfId="0" applyFont="1"/>
    <xf numFmtId="170" fontId="14" fillId="0" borderId="0" xfId="1" applyNumberFormat="1" applyFont="1" applyFill="1" applyBorder="1"/>
    <xf numFmtId="169" fontId="11" fillId="0" borderId="0" xfId="1" applyNumberFormat="1" applyFont="1" applyFill="1" applyBorder="1"/>
    <xf numFmtId="170" fontId="11" fillId="0" borderId="0" xfId="1" applyNumberFormat="1" applyFont="1"/>
    <xf numFmtId="0" fontId="23" fillId="0" borderId="0" xfId="0" applyFont="1"/>
    <xf numFmtId="0" fontId="14" fillId="9" borderId="0" xfId="0" applyFont="1" applyFill="1" applyAlignment="1">
      <alignment horizontal="center" wrapText="1"/>
    </xf>
    <xf numFmtId="0" fontId="14" fillId="22" borderId="0" xfId="0" applyFont="1" applyFill="1" applyAlignment="1">
      <alignment horizontal="center" wrapText="1"/>
    </xf>
    <xf numFmtId="0" fontId="14" fillId="12" borderId="0" xfId="0" applyFont="1" applyFill="1" applyAlignment="1">
      <alignment horizontal="center" wrapText="1"/>
    </xf>
    <xf numFmtId="0" fontId="11" fillId="0" borderId="0" xfId="0" applyFont="1" applyAlignment="1">
      <alignment horizontal="center"/>
    </xf>
    <xf numFmtId="9" fontId="11" fillId="0" borderId="0" xfId="2" applyFont="1" applyFill="1" applyBorder="1" applyAlignment="1">
      <alignment horizontal="center"/>
    </xf>
    <xf numFmtId="176" fontId="11" fillId="0" borderId="0" xfId="2" applyNumberFormat="1" applyFont="1" applyFill="1" applyBorder="1" applyAlignment="1">
      <alignment horizontal="center"/>
    </xf>
    <xf numFmtId="3" fontId="11" fillId="0" borderId="0" xfId="1" applyNumberFormat="1" applyFont="1" applyFill="1" applyBorder="1"/>
    <xf numFmtId="3" fontId="11" fillId="0" borderId="0" xfId="1" applyNumberFormat="1" applyFont="1"/>
    <xf numFmtId="0" fontId="38" fillId="0" borderId="0" xfId="0" applyFont="1" applyAlignment="1">
      <alignment horizontal="right" vertical="top"/>
    </xf>
    <xf numFmtId="0" fontId="0" fillId="0" borderId="0" xfId="0" applyAlignment="1">
      <alignment horizontal="right" vertical="top"/>
    </xf>
    <xf numFmtId="0" fontId="0" fillId="8" borderId="0" xfId="0" applyFill="1"/>
    <xf numFmtId="0" fontId="5" fillId="0" borderId="0" xfId="3" applyAlignment="1" applyProtection="1"/>
    <xf numFmtId="0" fontId="0" fillId="0" borderId="0" xfId="0" applyAlignment="1">
      <alignment horizontal="left" vertical="top" wrapText="1"/>
    </xf>
    <xf numFmtId="170" fontId="0" fillId="8" borderId="0" xfId="1" applyNumberFormat="1" applyFont="1" applyFill="1" applyAlignment="1" applyProtection="1">
      <alignment horizontal="left" vertical="top" wrapText="1"/>
      <protection locked="0"/>
    </xf>
    <xf numFmtId="170" fontId="0" fillId="8" borderId="0" xfId="1" applyNumberFormat="1" applyFont="1" applyFill="1" applyBorder="1" applyAlignment="1" applyProtection="1">
      <alignment horizontal="left" wrapText="1"/>
      <protection locked="0"/>
    </xf>
    <xf numFmtId="0" fontId="38" fillId="0" borderId="0" xfId="0" applyFont="1" applyAlignment="1">
      <alignment horizontal="right" vertical="top" wrapText="1"/>
    </xf>
    <xf numFmtId="0" fontId="38" fillId="0" borderId="0" xfId="0" applyFont="1" applyAlignment="1">
      <alignment horizontal="right" vertical="top"/>
    </xf>
    <xf numFmtId="170" fontId="0" fillId="8" borderId="0" xfId="1" applyNumberFormat="1" applyFont="1" applyFill="1" applyBorder="1" applyAlignment="1" applyProtection="1">
      <alignment horizontal="center" wrapText="1"/>
      <protection locked="0"/>
    </xf>
    <xf numFmtId="0" fontId="52" fillId="4" borderId="0" xfId="3" applyFont="1" applyFill="1" applyAlignment="1" applyProtection="1">
      <alignment horizontal="left"/>
    </xf>
    <xf numFmtId="0" fontId="28" fillId="4" borderId="0" xfId="0" applyFont="1" applyFill="1" applyAlignment="1">
      <alignment horizontal="left" vertical="top" wrapText="1"/>
    </xf>
    <xf numFmtId="170" fontId="0" fillId="8" borderId="0" xfId="1" applyNumberFormat="1" applyFont="1" applyFill="1" applyBorder="1" applyAlignment="1" applyProtection="1">
      <alignment horizontal="left" vertical="top" wrapText="1"/>
      <protection locked="0"/>
    </xf>
    <xf numFmtId="0" fontId="21" fillId="13" borderId="0" xfId="0" applyFont="1" applyFill="1" applyAlignment="1">
      <alignment horizontal="left"/>
    </xf>
    <xf numFmtId="3" fontId="16" fillId="0" borderId="1" xfId="0" applyNumberFormat="1" applyFont="1" applyBorder="1" applyAlignment="1">
      <alignment horizontal="center" wrapText="1"/>
    </xf>
    <xf numFmtId="0" fontId="0" fillId="0" borderId="1" xfId="0" applyBorder="1" applyAlignment="1">
      <alignment horizontal="center" wrapText="1"/>
    </xf>
    <xf numFmtId="0" fontId="28" fillId="0" borderId="0" xfId="0" applyFont="1" applyAlignment="1">
      <alignment horizontal="left" wrapText="1"/>
    </xf>
    <xf numFmtId="0" fontId="0" fillId="0" borderId="0" xfId="0" applyAlignment="1">
      <alignment horizontal="left" indent="2"/>
    </xf>
    <xf numFmtId="0" fontId="0" fillId="0" borderId="0" xfId="0" applyAlignment="1">
      <alignment horizontal="left" wrapText="1" indent="3"/>
    </xf>
    <xf numFmtId="0" fontId="40" fillId="0" borderId="0" xfId="0" applyFont="1" applyAlignment="1">
      <alignment horizontal="left"/>
    </xf>
  </cellXfs>
  <cellStyles count="6">
    <cellStyle name="Comma" xfId="1" builtinId="3"/>
    <cellStyle name="Currency" xfId="5" builtinId="4"/>
    <cellStyle name="Hyperlink" xfId="3" builtinId="8"/>
    <cellStyle name="Normal" xfId="0" builtinId="0"/>
    <cellStyle name="Normal_5 - Reference Data" xfId="4" xr:uid="{00000000-0005-0000-0000-000004000000}"/>
    <cellStyle name="Percent" xfId="2" builtinId="5"/>
  </cellStyles>
  <dxfs count="0"/>
  <tableStyles count="0" defaultTableStyle="TableStyleMedium2" defaultPivotStyle="PivotStyleLight16"/>
  <colors>
    <mruColors>
      <color rgb="FFFFFFCC"/>
      <color rgb="FFCCCCFF"/>
      <color rgb="FFFFFFEB"/>
      <color rgb="FFFFF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Project MTCO2e </a:t>
            </a:r>
          </a:p>
        </c:rich>
      </c:tx>
      <c:layout>
        <c:manualLayout>
          <c:xMode val="edge"/>
          <c:yMode val="edge"/>
          <c:x val="0.38443656736049531"/>
          <c:y val="3.6638832102274491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'Emission Reduction Estimates'!$J$25</c:f>
              <c:strCache>
                <c:ptCount val="1"/>
                <c:pt idx="0">
                  <c:v>Baseline annual emissions (before)</c:v>
                </c:pt>
              </c:strCache>
            </c:strRef>
          </c:tx>
          <c:spPr>
            <a:ln w="28575" cap="rnd">
              <a:solidFill>
                <a:schemeClr val="accent1"/>
              </a:solidFill>
              <a:round/>
            </a:ln>
            <a:effectLst/>
          </c:spPr>
          <c:marker>
            <c:symbol val="none"/>
          </c:marker>
          <c:cat>
            <c:numRef>
              <c:f>'Emission Reduction Estimates'!$K$24:$T$24</c:f>
              <c:numCache>
                <c:formatCode>0</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'Emission Reduction Estimates'!$K$25:$T$25</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401F-444C-8A86-631E647A5234}"/>
            </c:ext>
          </c:extLst>
        </c:ser>
        <c:ser>
          <c:idx val="1"/>
          <c:order val="1"/>
          <c:tx>
            <c:strRef>
              <c:f>'Emission Reduction Estimates'!$J$26</c:f>
              <c:strCache>
                <c:ptCount val="1"/>
                <c:pt idx="0">
                  <c:v>New annual emissions level after project (after)</c:v>
                </c:pt>
              </c:strCache>
            </c:strRef>
          </c:tx>
          <c:spPr>
            <a:ln w="28575" cap="rnd">
              <a:solidFill>
                <a:schemeClr val="accent2"/>
              </a:solidFill>
              <a:round/>
            </a:ln>
            <a:effectLst/>
          </c:spPr>
          <c:marker>
            <c:symbol val="none"/>
          </c:marker>
          <c:cat>
            <c:numRef>
              <c:f>'Emission Reduction Estimates'!$K$24:$T$24</c:f>
              <c:numCache>
                <c:formatCode>0</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'Emission Reduction Estimates'!$K$26:$T$26</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401F-444C-8A86-631E647A5234}"/>
            </c:ext>
          </c:extLst>
        </c:ser>
        <c:ser>
          <c:idx val="2"/>
          <c:order val="2"/>
          <c:tx>
            <c:strRef>
              <c:f>'Emission Reduction Estimates'!$J$27</c:f>
              <c:strCache>
                <c:ptCount val="1"/>
                <c:pt idx="0">
                  <c:v>Emissions avoided (cumulative)</c:v>
                </c:pt>
              </c:strCache>
            </c:strRef>
          </c:tx>
          <c:spPr>
            <a:ln w="28575" cap="rnd">
              <a:solidFill>
                <a:schemeClr val="accent3"/>
              </a:solidFill>
              <a:round/>
            </a:ln>
            <a:effectLst/>
          </c:spPr>
          <c:marker>
            <c:symbol val="none"/>
          </c:marker>
          <c:cat>
            <c:numRef>
              <c:f>'Emission Reduction Estimates'!$K$24:$T$24</c:f>
              <c:numCache>
                <c:formatCode>0</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'Emission Reduction Estimates'!$K$27:$T$27</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xmlns:c15="http://schemas.microsoft.com/office/drawing/2012/chart">
            <c:ext xmlns:c16="http://schemas.microsoft.com/office/drawing/2014/chart" uri="{C3380CC4-5D6E-409C-BE32-E72D297353CC}">
              <c16:uniqueId val="{00000002-401F-444C-8A86-631E647A5234}"/>
            </c:ext>
          </c:extLst>
        </c:ser>
        <c:dLbls>
          <c:showLegendKey val="0"/>
          <c:showVal val="0"/>
          <c:showCatName val="0"/>
          <c:showSerName val="0"/>
          <c:showPercent val="0"/>
          <c:showBubbleSize val="0"/>
        </c:dLbls>
        <c:smooth val="0"/>
        <c:axId val="236429736"/>
        <c:axId val="236436296"/>
        <c:extLst/>
      </c:lineChart>
      <c:dateAx>
        <c:axId val="23642973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36296"/>
        <c:crosses val="autoZero"/>
        <c:auto val="0"/>
        <c:lblOffset val="100"/>
        <c:baseTimeUnit val="days"/>
      </c:dateAx>
      <c:valAx>
        <c:axId val="236436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a:t>MTCO2e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2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Project Cost Savings ($)</a:t>
            </a:r>
          </a:p>
        </c:rich>
      </c:tx>
      <c:layout>
        <c:manualLayout>
          <c:xMode val="edge"/>
          <c:yMode val="edge"/>
          <c:x val="0.38443656736049531"/>
          <c:y val="3.6638832102274491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'Emission Reduction Estimates'!$J$51</c:f>
              <c:strCache>
                <c:ptCount val="1"/>
                <c:pt idx="0">
                  <c:v>Baseline cost (before)</c:v>
                </c:pt>
              </c:strCache>
            </c:strRef>
          </c:tx>
          <c:spPr>
            <a:ln w="28575" cap="rnd">
              <a:solidFill>
                <a:schemeClr val="accent1"/>
              </a:solidFill>
              <a:round/>
            </a:ln>
            <a:effectLst/>
          </c:spPr>
          <c:marker>
            <c:symbol val="none"/>
          </c:marker>
          <c:cat>
            <c:numRef>
              <c:f>'Emission Reduction Estimates'!$K$50:$T$50</c:f>
              <c:numCache>
                <c:formatCode>0</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'Emission Reduction Estimates'!$K$51:$T$51</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44E0-4A68-82D4-14CD8CA2EE76}"/>
            </c:ext>
          </c:extLst>
        </c:ser>
        <c:ser>
          <c:idx val="1"/>
          <c:order val="1"/>
          <c:tx>
            <c:strRef>
              <c:f>'Emission Reduction Estimates'!$J$52</c:f>
              <c:strCache>
                <c:ptCount val="1"/>
                <c:pt idx="0">
                  <c:v>New annual cost after project (after)</c:v>
                </c:pt>
              </c:strCache>
            </c:strRef>
          </c:tx>
          <c:spPr>
            <a:ln w="28575" cap="rnd">
              <a:solidFill>
                <a:schemeClr val="accent2"/>
              </a:solidFill>
              <a:round/>
            </a:ln>
            <a:effectLst/>
          </c:spPr>
          <c:marker>
            <c:symbol val="none"/>
          </c:marker>
          <c:cat>
            <c:numRef>
              <c:f>'Emission Reduction Estimates'!$K$50:$T$50</c:f>
              <c:numCache>
                <c:formatCode>0</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'Emission Reduction Estimates'!$K$52:$T$52</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44E0-4A68-82D4-14CD8CA2EE76}"/>
            </c:ext>
          </c:extLst>
        </c:ser>
        <c:ser>
          <c:idx val="2"/>
          <c:order val="2"/>
          <c:tx>
            <c:strRef>
              <c:f>'Emission Reduction Estimates'!$J$53</c:f>
              <c:strCache>
                <c:ptCount val="1"/>
                <c:pt idx="0">
                  <c:v>Cost avoided (cumulative savings)</c:v>
                </c:pt>
              </c:strCache>
            </c:strRef>
          </c:tx>
          <c:spPr>
            <a:ln w="28575" cap="rnd">
              <a:solidFill>
                <a:schemeClr val="accent3"/>
              </a:solidFill>
              <a:round/>
            </a:ln>
            <a:effectLst/>
          </c:spPr>
          <c:marker>
            <c:symbol val="none"/>
          </c:marker>
          <c:cat>
            <c:numRef>
              <c:f>'Emission Reduction Estimates'!$K$50:$T$50</c:f>
              <c:numCache>
                <c:formatCode>0</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'Emission Reduction Estimates'!$K$53:$T$53</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xmlns:c15="http://schemas.microsoft.com/office/drawing/2012/chart">
            <c:ext xmlns:c16="http://schemas.microsoft.com/office/drawing/2014/chart" uri="{C3380CC4-5D6E-409C-BE32-E72D297353CC}">
              <c16:uniqueId val="{00000002-44E0-4A68-82D4-14CD8CA2EE76}"/>
            </c:ext>
          </c:extLst>
        </c:ser>
        <c:dLbls>
          <c:showLegendKey val="0"/>
          <c:showVal val="0"/>
          <c:showCatName val="0"/>
          <c:showSerName val="0"/>
          <c:showPercent val="0"/>
          <c:showBubbleSize val="0"/>
        </c:dLbls>
        <c:smooth val="0"/>
        <c:axId val="236429736"/>
        <c:axId val="236436296"/>
        <c:extLst/>
      </c:lineChart>
      <c:dateAx>
        <c:axId val="23642973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36296"/>
        <c:crosses val="autoZero"/>
        <c:auto val="0"/>
        <c:lblOffset val="100"/>
        <c:baseTimeUnit val="days"/>
      </c:dateAx>
      <c:valAx>
        <c:axId val="236436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a:t>MTCO2e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2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US"/>
              <a:t>Project Cost Savings ($)</a:t>
            </a:r>
          </a:p>
        </c:rich>
      </c:tx>
      <c:layout>
        <c:manualLayout>
          <c:xMode val="edge"/>
          <c:yMode val="edge"/>
          <c:x val="0.38443656736049531"/>
          <c:y val="3.6638832102274491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'Emission Reduction Estimates'!$J$51</c:f>
              <c:strCache>
                <c:ptCount val="1"/>
                <c:pt idx="0">
                  <c:v>Baseline cost (before)</c:v>
                </c:pt>
              </c:strCache>
            </c:strRef>
          </c:tx>
          <c:spPr>
            <a:ln w="28575" cap="rnd">
              <a:solidFill>
                <a:schemeClr val="accent1"/>
              </a:solidFill>
              <a:round/>
            </a:ln>
            <a:effectLst/>
          </c:spPr>
          <c:marker>
            <c:symbol val="none"/>
          </c:marker>
          <c:cat>
            <c:numLit>
              <c:formatCode>General</c:formatCode>
              <c:ptCount val="10"/>
              <c:pt idx="0">
                <c:v>2024</c:v>
              </c:pt>
              <c:pt idx="1">
                <c:v>2025</c:v>
              </c:pt>
              <c:pt idx="2">
                <c:v>2026</c:v>
              </c:pt>
              <c:pt idx="3">
                <c:v>2027</c:v>
              </c:pt>
              <c:pt idx="4">
                <c:v>2028</c:v>
              </c:pt>
              <c:pt idx="5">
                <c:v>2029</c:v>
              </c:pt>
              <c:pt idx="6">
                <c:v>2030</c:v>
              </c:pt>
              <c:pt idx="7">
                <c:v>2031</c:v>
              </c:pt>
              <c:pt idx="8">
                <c:v>2032</c:v>
              </c:pt>
              <c:pt idx="9">
                <c:v>2033</c:v>
              </c:pt>
            </c:numLit>
          </c:cat>
          <c:val>
            <c:numRef>
              <c:f>'Emission Reduction Estimates'!$K$51:$T$51</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A8B1-4304-953A-C12F2FDE3C64}"/>
            </c:ext>
          </c:extLst>
        </c:ser>
        <c:ser>
          <c:idx val="1"/>
          <c:order val="1"/>
          <c:tx>
            <c:strRef>
              <c:f>'Emission Reduction Estimates'!$J$52</c:f>
              <c:strCache>
                <c:ptCount val="1"/>
                <c:pt idx="0">
                  <c:v>New annual cost after project (after)</c:v>
                </c:pt>
              </c:strCache>
            </c:strRef>
          </c:tx>
          <c:spPr>
            <a:ln w="28575" cap="rnd">
              <a:solidFill>
                <a:schemeClr val="accent2"/>
              </a:solidFill>
              <a:round/>
            </a:ln>
            <a:effectLst/>
          </c:spPr>
          <c:marker>
            <c:symbol val="none"/>
          </c:marker>
          <c:cat>
            <c:numLit>
              <c:formatCode>General</c:formatCode>
              <c:ptCount val="10"/>
              <c:pt idx="0">
                <c:v>2024</c:v>
              </c:pt>
              <c:pt idx="1">
                <c:v>2025</c:v>
              </c:pt>
              <c:pt idx="2">
                <c:v>2026</c:v>
              </c:pt>
              <c:pt idx="3">
                <c:v>2027</c:v>
              </c:pt>
              <c:pt idx="4">
                <c:v>2028</c:v>
              </c:pt>
              <c:pt idx="5">
                <c:v>2029</c:v>
              </c:pt>
              <c:pt idx="6">
                <c:v>2030</c:v>
              </c:pt>
              <c:pt idx="7">
                <c:v>2031</c:v>
              </c:pt>
              <c:pt idx="8">
                <c:v>2032</c:v>
              </c:pt>
              <c:pt idx="9">
                <c:v>2033</c:v>
              </c:pt>
            </c:numLit>
          </c:cat>
          <c:val>
            <c:numRef>
              <c:f>'Emission Reduction Estimates'!$K$53:$T$53</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A8B1-4304-953A-C12F2FDE3C64}"/>
            </c:ext>
          </c:extLst>
        </c:ser>
        <c:ser>
          <c:idx val="2"/>
          <c:order val="2"/>
          <c:tx>
            <c:v>Cost avoided (cumulative savings)</c:v>
          </c:tx>
          <c:spPr>
            <a:ln w="28575" cap="rnd">
              <a:solidFill>
                <a:schemeClr val="accent3"/>
              </a:solidFill>
              <a:round/>
            </a:ln>
            <a:effectLst/>
          </c:spPr>
          <c:marker>
            <c:symbol val="none"/>
          </c:marker>
          <c:cat>
            <c:numLit>
              <c:formatCode>General</c:formatCode>
              <c:ptCount val="10"/>
              <c:pt idx="0">
                <c:v>2024</c:v>
              </c:pt>
              <c:pt idx="1">
                <c:v>2025</c:v>
              </c:pt>
              <c:pt idx="2">
                <c:v>2026</c:v>
              </c:pt>
              <c:pt idx="3">
                <c:v>2027</c:v>
              </c:pt>
              <c:pt idx="4">
                <c:v>2028</c:v>
              </c:pt>
              <c:pt idx="5">
                <c:v>2029</c:v>
              </c:pt>
              <c:pt idx="6">
                <c:v>2030</c:v>
              </c:pt>
              <c:pt idx="7">
                <c:v>2031</c:v>
              </c:pt>
              <c:pt idx="8">
                <c:v>2032</c:v>
              </c:pt>
              <c:pt idx="9">
                <c:v>2033</c:v>
              </c:pt>
            </c:numLit>
          </c:cat>
          <c:val>
            <c:numLit>
              <c:formatCode>General</c:formatCode>
              <c:ptCount val="10"/>
              <c:pt idx="0">
                <c:v>0</c:v>
              </c:pt>
              <c:pt idx="1">
                <c:v>0</c:v>
              </c:pt>
              <c:pt idx="2">
                <c:v>0</c:v>
              </c:pt>
              <c:pt idx="3">
                <c:v>0</c:v>
              </c:pt>
              <c:pt idx="4">
                <c:v>0</c:v>
              </c:pt>
              <c:pt idx="5">
                <c:v>0</c:v>
              </c:pt>
              <c:pt idx="6">
                <c:v>0</c:v>
              </c:pt>
              <c:pt idx="7">
                <c:v>0</c:v>
              </c:pt>
              <c:pt idx="8">
                <c:v>0</c:v>
              </c:pt>
              <c:pt idx="9">
                <c:v>0</c:v>
              </c:pt>
            </c:numLit>
          </c:val>
          <c:smooth val="0"/>
          <c:extLst xmlns:c15="http://schemas.microsoft.com/office/drawing/2012/chart">
            <c:ext xmlns:c16="http://schemas.microsoft.com/office/drawing/2014/chart" uri="{C3380CC4-5D6E-409C-BE32-E72D297353CC}">
              <c16:uniqueId val="{00000002-A8B1-4304-953A-C12F2FDE3C64}"/>
            </c:ext>
          </c:extLst>
        </c:ser>
        <c:dLbls>
          <c:showLegendKey val="0"/>
          <c:showVal val="0"/>
          <c:showCatName val="0"/>
          <c:showSerName val="0"/>
          <c:showPercent val="0"/>
          <c:showBubbleSize val="0"/>
        </c:dLbls>
        <c:smooth val="0"/>
        <c:axId val="236429736"/>
        <c:axId val="236436296"/>
        <c:extLst/>
      </c:lineChart>
      <c:dateAx>
        <c:axId val="236429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36296"/>
        <c:crosses val="autoZero"/>
        <c:auto val="0"/>
        <c:lblOffset val="100"/>
        <c:baseTimeUnit val="days"/>
      </c:dateAx>
      <c:valAx>
        <c:axId val="236436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a:t>MTCO2e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3642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68580</xdr:colOff>
      <xdr:row>28</xdr:row>
      <xdr:rowOff>14898</xdr:rowOff>
    </xdr:from>
    <xdr:to>
      <xdr:col>18</xdr:col>
      <xdr:colOff>8815</xdr:colOff>
      <xdr:row>40</xdr:row>
      <xdr:rowOff>21814</xdr:rowOff>
    </xdr:to>
    <xdr:graphicFrame macro="">
      <xdr:nvGraphicFramePr>
        <xdr:cNvPr id="7" name="Chart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694763</xdr:colOff>
      <xdr:row>54</xdr:row>
      <xdr:rowOff>830</xdr:rowOff>
    </xdr:from>
    <xdr:to>
      <xdr:col>18</xdr:col>
      <xdr:colOff>82176</xdr:colOff>
      <xdr:row>69</xdr:row>
      <xdr:rowOff>37353</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694763</xdr:colOff>
      <xdr:row>54</xdr:row>
      <xdr:rowOff>830</xdr:rowOff>
    </xdr:from>
    <xdr:to>
      <xdr:col>18</xdr:col>
      <xdr:colOff>82176</xdr:colOff>
      <xdr:row>69</xdr:row>
      <xdr:rowOff>37353</xdr:rowOff>
    </xdr:to>
    <xdr:graphicFrame macro="">
      <xdr:nvGraphicFramePr>
        <xdr:cNvPr id="4" name="Chart 3">
          <a:extLst>
            <a:ext uri="{FF2B5EF4-FFF2-40B4-BE49-F238E27FC236}">
              <a16:creationId xmlns:a16="http://schemas.microsoft.com/office/drawing/2014/main" id="{F1FC110E-EABF-417C-80B9-8720FD58FB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ashington/HB%202311%20-%20SA%20GHG%20Reporting/Agency%20Calculators,%20Data%20and%20Reporting/2021%20SA%20Reports/Agency%20Reports/LCB/2021_LCB_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port"/>
      <sheetName val="Reference"/>
      <sheetName val="Emission Reduction Estimates"/>
      <sheetName val="hide tab"/>
    </sheetNames>
    <sheetDataSet>
      <sheetData sheetId="0"/>
      <sheetData sheetId="1">
        <row r="21">
          <cell r="B21">
            <v>83356</v>
          </cell>
        </row>
      </sheetData>
      <sheetData sheetId="2">
        <row r="5">
          <cell r="A5">
            <v>0.1</v>
          </cell>
        </row>
        <row r="9">
          <cell r="A9">
            <v>3.4119999999999999</v>
          </cell>
        </row>
        <row r="10">
          <cell r="A10">
            <v>1.194</v>
          </cell>
        </row>
        <row r="15">
          <cell r="D15">
            <v>5.3060000000000008E-3</v>
          </cell>
          <cell r="F15">
            <v>1.0000000000000001E-7</v>
          </cell>
          <cell r="H15">
            <v>1E-8</v>
          </cell>
        </row>
        <row r="19">
          <cell r="D19">
            <v>1.0206479999999999E-2</v>
          </cell>
          <cell r="F19">
            <v>4.1400000000000003E-7</v>
          </cell>
          <cell r="H19">
            <v>8.2800000000000027E-8</v>
          </cell>
        </row>
        <row r="20">
          <cell r="D20">
            <v>5.7211700000000002E-3</v>
          </cell>
          <cell r="F20">
            <v>2.7300000000000002E-7</v>
          </cell>
          <cell r="H20">
            <v>5.4600000000000006E-8</v>
          </cell>
        </row>
        <row r="21">
          <cell r="D21">
            <v>1.0206479999999999E-2</v>
          </cell>
          <cell r="F21">
            <v>4.1400000000000003E-7</v>
          </cell>
          <cell r="H21">
            <v>8.2800000000000027E-8</v>
          </cell>
        </row>
        <row r="22">
          <cell r="D22">
            <v>8.7775000000000006E-3</v>
          </cell>
          <cell r="F22">
            <v>3.7500000000000001E-7</v>
          </cell>
          <cell r="H22">
            <v>7.500000000000001E-8</v>
          </cell>
        </row>
        <row r="27">
          <cell r="C27">
            <v>0.18480641201623974</v>
          </cell>
          <cell r="D27">
            <v>1.8480641201623974E-4</v>
          </cell>
        </row>
        <row r="43">
          <cell r="D43">
            <v>9.4214285714285719E-3</v>
          </cell>
        </row>
        <row r="51">
          <cell r="B51">
            <v>25</v>
          </cell>
        </row>
        <row r="52">
          <cell r="B52">
            <v>298</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tacey.waterman-hoey@ecy.wa.gov%20%7C%20360-764-6187(c)" TargetMode="External"/><Relationship Id="rId7" Type="http://schemas.openxmlformats.org/officeDocument/2006/relationships/printerSettings" Target="../printerSettings/printerSettings1.bin"/><Relationship Id="rId2" Type="http://schemas.openxmlformats.org/officeDocument/2006/relationships/hyperlink" Target="https://www.commerce.wa.gov/growing-the-economy/energy/state-efficiency-and-environmental-performance-seep/" TargetMode="External"/><Relationship Id="rId1" Type="http://schemas.openxmlformats.org/officeDocument/2006/relationships/hyperlink" Target="https://ecology.wa.gov/Air-Climate/Climate-change/Greenhouse-gases/Greenhouse-gas-reporting/State-agency-greenhouse-gas-reports" TargetMode="External"/><Relationship Id="rId6" Type="http://schemas.openxmlformats.org/officeDocument/2006/relationships/hyperlink" Target="http://ecyapaq/aqportal/SAGE/Default.aspx" TargetMode="External"/><Relationship Id="rId5" Type="http://schemas.openxmlformats.org/officeDocument/2006/relationships/hyperlink" Target="https://des.wa.gov/services/facilities-leasing/energy-program/resource-conservation-management-program" TargetMode="External"/><Relationship Id="rId4" Type="http://schemas.openxmlformats.org/officeDocument/2006/relationships/hyperlink" Target="https://ecology.wa.gov/Air-Climate/Climate-change/Tracking-greenhouse-gases/Greenhouse-gas-reporting/State-agency-greenhouse-gas-report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apps.ecology.wa.gov/publications/summarypages/2202055.html"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eia.gov/dnav/pet/hist/LeafHandler.ashx?n=PET&amp;s=EMA_EPJK_PWG_NUS_DPG&amp;f=M" TargetMode="External"/><Relationship Id="rId13" Type="http://schemas.openxmlformats.org/officeDocument/2006/relationships/vmlDrawing" Target="../drawings/vmlDrawing2.vml"/><Relationship Id="rId3" Type="http://schemas.openxmlformats.org/officeDocument/2006/relationships/hyperlink" Target="https://www.eia.gov/petroleum/gasdiesel/" TargetMode="External"/><Relationship Id="rId7" Type="http://schemas.openxmlformats.org/officeDocument/2006/relationships/hyperlink" Target="https://www.eia.gov/petroleum/heatingoilpropane/" TargetMode="External"/><Relationship Id="rId12" Type="http://schemas.openxmlformats.org/officeDocument/2006/relationships/printerSettings" Target="../printerSettings/printerSettings3.bin"/><Relationship Id="rId2" Type="http://schemas.openxmlformats.org/officeDocument/2006/relationships/hyperlink" Target="https://gasprices.aaa.com/?state=WA" TargetMode="External"/><Relationship Id="rId1" Type="http://schemas.openxmlformats.org/officeDocument/2006/relationships/hyperlink" Target="https://www.eia.gov/dnav/ng/ng_pri_sum_dcu_SWA_a.htm" TargetMode="External"/><Relationship Id="rId6" Type="http://schemas.openxmlformats.org/officeDocument/2006/relationships/hyperlink" Target="https://www.eia.gov/petroleum/gasdiesel/" TargetMode="External"/><Relationship Id="rId11" Type="http://schemas.openxmlformats.org/officeDocument/2006/relationships/hyperlink" Target="https://www.epa.gov/energy/greenhouse-gases-equivalencies-calculator-calculations-and-references" TargetMode="External"/><Relationship Id="rId5" Type="http://schemas.openxmlformats.org/officeDocument/2006/relationships/hyperlink" Target="https://gasprices.aaa.com/?state=WA" TargetMode="External"/><Relationship Id="rId10" Type="http://schemas.openxmlformats.org/officeDocument/2006/relationships/hyperlink" Target="https://www.epa.gov/energy/greenhouse-gases-equivalencies-calculator-calculations-and-references" TargetMode="External"/><Relationship Id="rId4" Type="http://schemas.openxmlformats.org/officeDocument/2006/relationships/hyperlink" Target="https://www.eia.gov/petroleum/heatingoilpropane/" TargetMode="External"/><Relationship Id="rId9" Type="http://schemas.openxmlformats.org/officeDocument/2006/relationships/hyperlink" Target="https://www.epa.gov/egrid/data-explorer" TargetMode="External"/><Relationship Id="rId1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www.epa.gov/statelocalenergy/quantifying-multiple-benefits-energy-efficiency-and-renewable-energy-guide-state" TargetMode="External"/><Relationship Id="rId7" Type="http://schemas.openxmlformats.org/officeDocument/2006/relationships/vmlDrawing" Target="../drawings/vmlDrawing3.vml"/><Relationship Id="rId2" Type="http://schemas.openxmlformats.org/officeDocument/2006/relationships/hyperlink" Target="https://www.epa.gov/avert/avert-web-edition" TargetMode="External"/><Relationship Id="rId1" Type="http://schemas.openxmlformats.org/officeDocument/2006/relationships/hyperlink" Target="https://www.epa.gov/energy/greenhouse-gas-equivalencies-calculator" TargetMode="External"/><Relationship Id="rId6" Type="http://schemas.openxmlformats.org/officeDocument/2006/relationships/drawing" Target="../drawings/drawing1.xml"/><Relationship Id="rId5" Type="http://schemas.openxmlformats.org/officeDocument/2006/relationships/printerSettings" Target="../printerSettings/printerSettings4.bin"/><Relationship Id="rId4" Type="http://schemas.openxmlformats.org/officeDocument/2006/relationships/hyperlink" Target="https://des.wa.gov/services/facilities-leasing/energy-program/resource-conservation-management-program"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79998168889431442"/>
  </sheetPr>
  <dimension ref="A1:C55"/>
  <sheetViews>
    <sheetView topLeftCell="A29" workbookViewId="0">
      <selection activeCell="A40" sqref="A40"/>
    </sheetView>
  </sheetViews>
  <sheetFormatPr defaultColWidth="10.77734375" defaultRowHeight="15.6" x14ac:dyDescent="0.3"/>
  <cols>
    <col min="1" max="1" width="102.44140625" style="3" customWidth="1"/>
    <col min="3" max="16384" width="10.77734375" style="2"/>
  </cols>
  <sheetData>
    <row r="1" spans="1:3" ht="23.4" x14ac:dyDescent="0.45">
      <c r="A1" s="15" t="s">
        <v>67</v>
      </c>
    </row>
    <row r="2" spans="1:3" ht="46.8" x14ac:dyDescent="0.3">
      <c r="A2" s="4" t="s">
        <v>360</v>
      </c>
    </row>
    <row r="3" spans="1:3" ht="21" customHeight="1" x14ac:dyDescent="0.3">
      <c r="A3" s="25" t="s">
        <v>453</v>
      </c>
    </row>
    <row r="4" spans="1:3" x14ac:dyDescent="0.3">
      <c r="A4" s="91" t="s">
        <v>355</v>
      </c>
    </row>
    <row r="5" spans="1:3" ht="31.2" x14ac:dyDescent="0.3">
      <c r="A5" s="91" t="s">
        <v>452</v>
      </c>
      <c r="C5" s="79"/>
    </row>
    <row r="6" spans="1:3" x14ac:dyDescent="0.3">
      <c r="A6" s="91" t="s">
        <v>356</v>
      </c>
    </row>
    <row r="7" spans="1:3" ht="28.8" x14ac:dyDescent="0.3">
      <c r="A7" s="89" t="s">
        <v>347</v>
      </c>
    </row>
    <row r="8" spans="1:3" x14ac:dyDescent="0.3">
      <c r="A8" s="4" t="s">
        <v>358</v>
      </c>
    </row>
    <row r="9" spans="1:3" x14ac:dyDescent="0.3">
      <c r="A9" s="89" t="s">
        <v>359</v>
      </c>
    </row>
    <row r="10" spans="1:3" ht="46.8" x14ac:dyDescent="0.3">
      <c r="A10" s="4" t="s">
        <v>348</v>
      </c>
    </row>
    <row r="11" spans="1:3" x14ac:dyDescent="0.3">
      <c r="A11" s="16"/>
    </row>
    <row r="12" spans="1:3" x14ac:dyDescent="0.3">
      <c r="A12" s="4" t="s">
        <v>61</v>
      </c>
    </row>
    <row r="13" spans="1:3" x14ac:dyDescent="0.3">
      <c r="A13" s="17" t="s">
        <v>65</v>
      </c>
    </row>
    <row r="14" spans="1:3" x14ac:dyDescent="0.3">
      <c r="A14" s="17" t="s">
        <v>62</v>
      </c>
    </row>
    <row r="15" spans="1:3" x14ac:dyDescent="0.3">
      <c r="A15" s="17" t="s">
        <v>63</v>
      </c>
    </row>
    <row r="16" spans="1:3" x14ac:dyDescent="0.3">
      <c r="A16" s="17" t="s">
        <v>64</v>
      </c>
    </row>
    <row r="17" spans="1:1" x14ac:dyDescent="0.3">
      <c r="A17" s="90" t="s">
        <v>350</v>
      </c>
    </row>
    <row r="19" spans="1:1" x14ac:dyDescent="0.3">
      <c r="A19" s="93" t="s">
        <v>66</v>
      </c>
    </row>
    <row r="20" spans="1:1" ht="46.8" x14ac:dyDescent="0.3">
      <c r="A20" s="12" t="s">
        <v>56</v>
      </c>
    </row>
    <row r="21" spans="1:1" x14ac:dyDescent="0.3">
      <c r="A21" s="13" t="s">
        <v>261</v>
      </c>
    </row>
    <row r="22" spans="1:1" x14ac:dyDescent="0.3">
      <c r="A22" s="13" t="s">
        <v>262</v>
      </c>
    </row>
    <row r="23" spans="1:1" x14ac:dyDescent="0.3">
      <c r="A23" s="13" t="s">
        <v>354</v>
      </c>
    </row>
    <row r="24" spans="1:1" x14ac:dyDescent="0.3">
      <c r="A24" s="13" t="s">
        <v>263</v>
      </c>
    </row>
    <row r="25" spans="1:1" x14ac:dyDescent="0.3">
      <c r="A25" s="12"/>
    </row>
    <row r="26" spans="1:1" x14ac:dyDescent="0.3">
      <c r="A26" s="12" t="s">
        <v>349</v>
      </c>
    </row>
    <row r="27" spans="1:1" ht="31.2" x14ac:dyDescent="0.3">
      <c r="A27" s="13" t="s">
        <v>361</v>
      </c>
    </row>
    <row r="28" spans="1:1" ht="31.2" x14ac:dyDescent="0.3">
      <c r="A28" s="13" t="s">
        <v>454</v>
      </c>
    </row>
    <row r="29" spans="1:1" ht="31.2" x14ac:dyDescent="0.3">
      <c r="A29" s="12" t="s">
        <v>60</v>
      </c>
    </row>
    <row r="30" spans="1:1" ht="28.8" x14ac:dyDescent="0.3">
      <c r="A30" s="14" t="s">
        <v>57</v>
      </c>
    </row>
    <row r="31" spans="1:1" x14ac:dyDescent="0.3">
      <c r="A31" s="12"/>
    </row>
    <row r="32" spans="1:1" x14ac:dyDescent="0.3">
      <c r="A32" s="12" t="s">
        <v>59</v>
      </c>
    </row>
    <row r="33" spans="1:1" ht="28.8" x14ac:dyDescent="0.3">
      <c r="A33" s="14" t="s">
        <v>58</v>
      </c>
    </row>
    <row r="34" spans="1:1" x14ac:dyDescent="0.3">
      <c r="A34" s="12" t="s">
        <v>357</v>
      </c>
    </row>
    <row r="35" spans="1:1" x14ac:dyDescent="0.3">
      <c r="A35" s="92" t="s">
        <v>332</v>
      </c>
    </row>
    <row r="37" spans="1:1" x14ac:dyDescent="0.3">
      <c r="A37"/>
    </row>
    <row r="38" spans="1:1" x14ac:dyDescent="0.3">
      <c r="A38" s="94" t="s">
        <v>461</v>
      </c>
    </row>
    <row r="39" spans="1:1" x14ac:dyDescent="0.3">
      <c r="A39" s="95" t="s">
        <v>362</v>
      </c>
    </row>
    <row r="40" spans="1:1" x14ac:dyDescent="0.3">
      <c r="A40" s="96" t="s">
        <v>363</v>
      </c>
    </row>
    <row r="41" spans="1:1" x14ac:dyDescent="0.3">
      <c r="A41" s="96" t="s">
        <v>364</v>
      </c>
    </row>
    <row r="42" spans="1:1" x14ac:dyDescent="0.3">
      <c r="A42" s="96"/>
    </row>
    <row r="43" spans="1:1" x14ac:dyDescent="0.3">
      <c r="A43" s="95" t="s">
        <v>365</v>
      </c>
    </row>
    <row r="44" spans="1:1" ht="28.8" x14ac:dyDescent="0.3">
      <c r="A44" s="96" t="s">
        <v>450</v>
      </c>
    </row>
    <row r="45" spans="1:1" ht="28.8" x14ac:dyDescent="0.3">
      <c r="A45" s="96" t="s">
        <v>448</v>
      </c>
    </row>
    <row r="46" spans="1:1" x14ac:dyDescent="0.3">
      <c r="A46" s="96"/>
    </row>
    <row r="47" spans="1:1" x14ac:dyDescent="0.3">
      <c r="A47" s="95" t="s">
        <v>366</v>
      </c>
    </row>
    <row r="48" spans="1:1" x14ac:dyDescent="0.3">
      <c r="A48" s="96" t="s">
        <v>447</v>
      </c>
    </row>
    <row r="49" spans="1:1" x14ac:dyDescent="0.3">
      <c r="A49" s="96"/>
    </row>
    <row r="50" spans="1:1" x14ac:dyDescent="0.3">
      <c r="A50" s="95" t="s">
        <v>367</v>
      </c>
    </row>
    <row r="51" spans="1:1" x14ac:dyDescent="0.3">
      <c r="A51" s="96" t="s">
        <v>368</v>
      </c>
    </row>
    <row r="52" spans="1:1" x14ac:dyDescent="0.3">
      <c r="A52" s="96"/>
    </row>
    <row r="53" spans="1:1" x14ac:dyDescent="0.3">
      <c r="A53" s="95" t="s">
        <v>444</v>
      </c>
    </row>
    <row r="54" spans="1:1" x14ac:dyDescent="0.3">
      <c r="A54" s="96" t="s">
        <v>443</v>
      </c>
    </row>
    <row r="55" spans="1:1" x14ac:dyDescent="0.3">
      <c r="A55" s="96"/>
    </row>
  </sheetData>
  <hyperlinks>
    <hyperlink ref="A30" r:id="rId1" xr:uid="{312A5A6D-67D1-4048-8CED-ECD398B56498}"/>
    <hyperlink ref="A33" r:id="rId2" xr:uid="{D2630E20-05A2-491F-A0AC-6F2EC976FC6B}"/>
    <hyperlink ref="A17" r:id="rId3" xr:uid="{F6A258EB-54B0-44BA-BD1B-94381F1841FD}"/>
    <hyperlink ref="A7" r:id="rId4" xr:uid="{4D826197-3C57-4D6D-A8B9-88432C560131}"/>
    <hyperlink ref="A35" r:id="rId5" xr:uid="{019F1329-881F-4C1F-B1D5-C95962D0EB9F}"/>
    <hyperlink ref="A9" r:id="rId6" xr:uid="{BC256FA4-30DD-451F-B461-8EDB7A157C61}"/>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7" tint="0.59999389629810485"/>
  </sheetPr>
  <dimension ref="A1:M135"/>
  <sheetViews>
    <sheetView tabSelected="1" zoomScale="112" workbookViewId="0">
      <selection activeCell="A2" sqref="A2"/>
    </sheetView>
  </sheetViews>
  <sheetFormatPr defaultRowHeight="14.4" x14ac:dyDescent="0.3"/>
  <cols>
    <col min="1" max="1" width="59.5546875" style="97" customWidth="1"/>
    <col min="2" max="2" width="22.88671875" style="97" customWidth="1"/>
    <col min="3" max="3" width="17.88671875" style="97" customWidth="1"/>
    <col min="4" max="4" width="37.44140625" style="97" customWidth="1"/>
    <col min="5" max="9" width="12.5546875" style="97" customWidth="1"/>
    <col min="10" max="16384" width="8.88671875" style="97"/>
  </cols>
  <sheetData>
    <row r="1" spans="1:9" ht="23.4" x14ac:dyDescent="0.3">
      <c r="A1" s="21" t="s">
        <v>73</v>
      </c>
      <c r="B1" s="278" t="s">
        <v>455</v>
      </c>
      <c r="C1" s="278"/>
      <c r="D1" s="278"/>
      <c r="E1" s="278"/>
      <c r="F1" s="278"/>
      <c r="G1" s="278"/>
      <c r="H1" s="278"/>
      <c r="I1" s="278"/>
    </row>
    <row r="2" spans="1:9" x14ac:dyDescent="0.3">
      <c r="A2" s="11" t="s">
        <v>456</v>
      </c>
      <c r="B2"/>
      <c r="C2"/>
      <c r="D2"/>
      <c r="E2"/>
      <c r="F2"/>
      <c r="G2"/>
      <c r="H2"/>
      <c r="I2"/>
    </row>
    <row r="3" spans="1:9" x14ac:dyDescent="0.3">
      <c r="A3" s="240"/>
      <c r="B3"/>
      <c r="C3"/>
      <c r="D3"/>
      <c r="E3"/>
      <c r="F3"/>
      <c r="G3"/>
      <c r="H3"/>
      <c r="I3"/>
    </row>
    <row r="4" spans="1:9" ht="21" x14ac:dyDescent="0.3">
      <c r="A4" s="98" t="s">
        <v>5</v>
      </c>
      <c r="B4" s="99"/>
      <c r="C4" s="99"/>
      <c r="D4" s="99"/>
      <c r="E4" s="99"/>
      <c r="F4" s="99"/>
      <c r="G4" s="99"/>
      <c r="H4" s="99"/>
      <c r="I4" s="99"/>
    </row>
    <row r="5" spans="1:9" x14ac:dyDescent="0.3">
      <c r="A5" s="32" t="s">
        <v>221</v>
      </c>
      <c r="B5" s="100"/>
      <c r="C5"/>
      <c r="D5" s="280" t="s">
        <v>369</v>
      </c>
      <c r="E5" s="280"/>
      <c r="F5" s="280"/>
      <c r="G5" s="280"/>
      <c r="H5" s="280"/>
      <c r="I5" s="280"/>
    </row>
    <row r="6" spans="1:9" x14ac:dyDescent="0.3">
      <c r="A6" s="32" t="s">
        <v>159</v>
      </c>
      <c r="B6" s="101"/>
      <c r="C6"/>
      <c r="D6" s="280"/>
      <c r="E6" s="280"/>
      <c r="F6" s="280"/>
      <c r="G6" s="280"/>
      <c r="H6" s="280"/>
      <c r="I6" s="280"/>
    </row>
    <row r="7" spans="1:9" x14ac:dyDescent="0.3">
      <c r="A7" s="32" t="s">
        <v>237</v>
      </c>
      <c r="B7" s="100"/>
      <c r="C7"/>
      <c r="D7" s="280"/>
      <c r="E7" s="280"/>
      <c r="F7" s="280"/>
      <c r="G7" s="280"/>
      <c r="H7" s="280"/>
      <c r="I7" s="280"/>
    </row>
    <row r="8" spans="1:9" x14ac:dyDescent="0.3">
      <c r="A8" s="32" t="s">
        <v>238</v>
      </c>
      <c r="B8" s="100"/>
      <c r="C8"/>
      <c r="D8" s="280"/>
      <c r="E8" s="280"/>
      <c r="F8" s="280"/>
      <c r="G8" s="280"/>
      <c r="H8" s="280"/>
      <c r="I8" s="280"/>
    </row>
    <row r="9" spans="1:9" x14ac:dyDescent="0.3">
      <c r="A9" s="32" t="s">
        <v>239</v>
      </c>
      <c r="B9" s="100"/>
      <c r="C9"/>
      <c r="D9" s="280"/>
      <c r="E9" s="280"/>
      <c r="F9" s="280"/>
      <c r="G9" s="280"/>
      <c r="H9" s="280"/>
      <c r="I9" s="280"/>
    </row>
    <row r="10" spans="1:9" x14ac:dyDescent="0.3">
      <c r="A10" s="32" t="s">
        <v>260</v>
      </c>
      <c r="B10" s="100"/>
      <c r="C10"/>
      <c r="D10" s="280"/>
      <c r="E10" s="280"/>
      <c r="F10" s="280"/>
      <c r="G10" s="280"/>
      <c r="H10" s="280"/>
      <c r="I10" s="280"/>
    </row>
    <row r="11" spans="1:9" x14ac:dyDescent="0.3">
      <c r="A11"/>
      <c r="B11"/>
      <c r="C11"/>
      <c r="D11" s="280"/>
      <c r="E11" s="280"/>
      <c r="F11" s="280"/>
      <c r="G11" s="280"/>
      <c r="H11" s="280"/>
      <c r="I11" s="280"/>
    </row>
    <row r="12" spans="1:9" x14ac:dyDescent="0.3">
      <c r="A12"/>
      <c r="B12"/>
      <c r="C12"/>
      <c r="D12"/>
      <c r="E12"/>
      <c r="F12"/>
      <c r="G12"/>
      <c r="H12"/>
      <c r="I12"/>
    </row>
    <row r="13" spans="1:9" ht="21" x14ac:dyDescent="0.3">
      <c r="A13" s="98" t="s">
        <v>54</v>
      </c>
      <c r="B13" s="99"/>
      <c r="C13" s="99"/>
      <c r="D13" s="99"/>
      <c r="E13" s="99"/>
      <c r="F13" s="99"/>
      <c r="G13" s="99"/>
      <c r="H13" s="99"/>
      <c r="I13" s="99"/>
    </row>
    <row r="14" spans="1:9" ht="29.4" customHeight="1" x14ac:dyDescent="0.3">
      <c r="A14" s="279" t="s">
        <v>370</v>
      </c>
      <c r="B14" s="279"/>
      <c r="C14" s="279"/>
      <c r="D14" s="279"/>
      <c r="E14" s="102"/>
      <c r="F14" s="102"/>
      <c r="G14" s="102"/>
      <c r="H14" s="102"/>
      <c r="I14" s="102"/>
    </row>
    <row r="15" spans="1:9" x14ac:dyDescent="0.3">
      <c r="A15"/>
      <c r="B15"/>
      <c r="C15" s="103" t="s">
        <v>451</v>
      </c>
      <c r="D15"/>
      <c r="E15"/>
      <c r="F15"/>
      <c r="G15"/>
      <c r="H15"/>
      <c r="I15"/>
    </row>
    <row r="16" spans="1:9" ht="18" x14ac:dyDescent="0.35">
      <c r="A16" s="104" t="s">
        <v>403</v>
      </c>
      <c r="B16"/>
      <c r="C16" s="105"/>
      <c r="D16"/>
      <c r="E16"/>
      <c r="F16"/>
      <c r="G16"/>
      <c r="H16"/>
      <c r="I16"/>
    </row>
    <row r="17" spans="1:9" ht="14.4" customHeight="1" x14ac:dyDescent="0.3">
      <c r="A17" s="106" t="s">
        <v>0</v>
      </c>
      <c r="B17" s="107"/>
      <c r="C17" s="108">
        <f>IF(B17,B17/Total_conditioned_space__sq._ft.,0)</f>
        <v>0</v>
      </c>
      <c r="D17" s="275" t="s">
        <v>371</v>
      </c>
      <c r="E17" s="280"/>
      <c r="F17" s="280"/>
      <c r="G17" s="280"/>
      <c r="H17" s="280"/>
      <c r="I17" s="280"/>
    </row>
    <row r="18" spans="1:9" x14ac:dyDescent="0.3">
      <c r="A18" s="106" t="s">
        <v>1</v>
      </c>
      <c r="B18" s="107"/>
      <c r="C18" s="108">
        <f>IF(B18,B18/Total_conditioned_space__sq._ft.,0)</f>
        <v>0</v>
      </c>
      <c r="D18" s="275"/>
      <c r="E18" s="280"/>
      <c r="F18" s="280"/>
      <c r="G18" s="280"/>
      <c r="H18" s="280"/>
      <c r="I18" s="280"/>
    </row>
    <row r="19" spans="1:9" x14ac:dyDescent="0.3">
      <c r="A19" s="106" t="s">
        <v>3</v>
      </c>
      <c r="B19" s="107"/>
      <c r="C19" s="108">
        <f>IF(B19,B19/Total_conditioned_space__sq._ft.,0)</f>
        <v>0</v>
      </c>
      <c r="D19" s="275"/>
      <c r="E19" s="280"/>
      <c r="F19" s="280"/>
      <c r="G19" s="280"/>
      <c r="H19" s="280"/>
      <c r="I19" s="280"/>
    </row>
    <row r="20" spans="1:9" x14ac:dyDescent="0.3">
      <c r="A20" s="106" t="s">
        <v>4</v>
      </c>
      <c r="B20" s="107"/>
      <c r="C20" s="108">
        <f>IF(B20,B20/Total_conditioned_space__sq._ft.,0)</f>
        <v>0</v>
      </c>
      <c r="D20" s="275"/>
      <c r="E20" s="280"/>
      <c r="F20" s="280"/>
      <c r="G20" s="280"/>
      <c r="H20" s="280"/>
      <c r="I20" s="280"/>
    </row>
    <row r="21" spans="1:9" x14ac:dyDescent="0.3">
      <c r="A21" s="109" t="s">
        <v>222</v>
      </c>
      <c r="B21" s="110">
        <f>SUM(B17:B20)</f>
        <v>0</v>
      </c>
      <c r="C21" s="111"/>
      <c r="D21" s="275"/>
      <c r="E21" s="280"/>
      <c r="F21" s="280"/>
      <c r="G21" s="280"/>
      <c r="H21" s="280"/>
      <c r="I21" s="280"/>
    </row>
    <row r="22" spans="1:9" x14ac:dyDescent="0.3">
      <c r="A22"/>
      <c r="B22"/>
      <c r="C22"/>
      <c r="D22" s="269"/>
      <c r="E22"/>
      <c r="F22"/>
      <c r="G22"/>
      <c r="H22"/>
      <c r="I22"/>
    </row>
    <row r="23" spans="1:9" ht="18" x14ac:dyDescent="0.35">
      <c r="A23" s="88" t="s">
        <v>372</v>
      </c>
      <c r="B23"/>
      <c r="C23"/>
      <c r="D23" s="269"/>
      <c r="E23"/>
      <c r="F23"/>
      <c r="G23"/>
      <c r="H23"/>
      <c r="I23"/>
    </row>
    <row r="24" spans="1:9" x14ac:dyDescent="0.3">
      <c r="A24" s="20"/>
      <c r="B24" s="10" t="s">
        <v>404</v>
      </c>
      <c r="C24"/>
      <c r="D24" s="269"/>
      <c r="E24"/>
      <c r="F24"/>
      <c r="G24"/>
      <c r="H24"/>
      <c r="I24"/>
    </row>
    <row r="25" spans="1:9" x14ac:dyDescent="0.3">
      <c r="A25" s="7" t="s">
        <v>246</v>
      </c>
      <c r="B25"/>
      <c r="C25"/>
      <c r="D25" s="234" t="s">
        <v>449</v>
      </c>
      <c r="E25" s="270"/>
      <c r="F25"/>
      <c r="G25"/>
      <c r="H25"/>
      <c r="I25"/>
    </row>
    <row r="26" spans="1:9" x14ac:dyDescent="0.3">
      <c r="A26"/>
      <c r="C26"/>
      <c r="D26" s="115"/>
    </row>
    <row r="27" spans="1:9" x14ac:dyDescent="0.3">
      <c r="A27" s="19" t="s">
        <v>258</v>
      </c>
      <c r="B27" s="107"/>
      <c r="C27"/>
      <c r="D27" s="268" t="s">
        <v>373</v>
      </c>
      <c r="E27" s="274"/>
      <c r="F27" s="274"/>
      <c r="G27" s="274"/>
      <c r="H27" s="274"/>
      <c r="I27" s="274"/>
    </row>
    <row r="28" spans="1:9" x14ac:dyDescent="0.3">
      <c r="A28" s="20"/>
      <c r="B28"/>
      <c r="C28"/>
      <c r="D28" s="115"/>
      <c r="E28"/>
      <c r="F28"/>
      <c r="G28"/>
      <c r="H28"/>
      <c r="I28"/>
    </row>
    <row r="29" spans="1:9" x14ac:dyDescent="0.3">
      <c r="A29" s="7" t="s">
        <v>217</v>
      </c>
      <c r="B29" s="78"/>
      <c r="C29"/>
      <c r="D29" s="115"/>
      <c r="E29"/>
      <c r="F29"/>
      <c r="G29"/>
      <c r="H29"/>
      <c r="I29"/>
    </row>
    <row r="30" spans="1:9" x14ac:dyDescent="0.3">
      <c r="A30" s="8"/>
      <c r="B30"/>
      <c r="C30"/>
      <c r="D30" s="269"/>
      <c r="E30"/>
      <c r="F30"/>
      <c r="G30"/>
      <c r="H30"/>
      <c r="I30"/>
    </row>
    <row r="31" spans="1:9" x14ac:dyDescent="0.3">
      <c r="A31" s="19" t="s">
        <v>241</v>
      </c>
      <c r="B31" s="107"/>
      <c r="C31"/>
      <c r="D31" s="268" t="s">
        <v>373</v>
      </c>
      <c r="E31" s="274"/>
      <c r="F31" s="274"/>
      <c r="G31" s="274"/>
      <c r="H31" s="274"/>
      <c r="I31" s="274"/>
    </row>
    <row r="32" spans="1:9" x14ac:dyDescent="0.3">
      <c r="A32" s="26"/>
      <c r="B32"/>
      <c r="C32"/>
      <c r="D32" s="269"/>
      <c r="E32"/>
      <c r="F32"/>
      <c r="G32"/>
      <c r="H32"/>
      <c r="I32"/>
    </row>
    <row r="33" spans="1:9" x14ac:dyDescent="0.3">
      <c r="A33" s="7" t="s">
        <v>445</v>
      </c>
      <c r="B33"/>
      <c r="C33"/>
      <c r="D33" s="269"/>
      <c r="E33"/>
      <c r="F33"/>
      <c r="G33"/>
      <c r="H33"/>
      <c r="I33"/>
    </row>
    <row r="34" spans="1:9" ht="60.6" customHeight="1" x14ac:dyDescent="0.3">
      <c r="A34" s="114" t="s">
        <v>446</v>
      </c>
      <c r="B34" s="107"/>
      <c r="C34"/>
      <c r="D34" s="234" t="s">
        <v>374</v>
      </c>
      <c r="E34" s="274"/>
      <c r="F34" s="274"/>
      <c r="G34" s="274"/>
      <c r="H34" s="274"/>
      <c r="I34" s="274"/>
    </row>
    <row r="35" spans="1:9" x14ac:dyDescent="0.3">
      <c r="A35"/>
      <c r="B35"/>
      <c r="C35"/>
      <c r="D35" s="234"/>
      <c r="E35"/>
      <c r="F35"/>
      <c r="G35"/>
      <c r="H35"/>
      <c r="I35"/>
    </row>
    <row r="36" spans="1:9" ht="18" x14ac:dyDescent="0.35">
      <c r="A36" s="88" t="s">
        <v>248</v>
      </c>
      <c r="B36"/>
      <c r="C36"/>
      <c r="D36" s="234"/>
      <c r="E36"/>
      <c r="F36"/>
      <c r="G36"/>
      <c r="H36"/>
      <c r="I36"/>
    </row>
    <row r="37" spans="1:9" x14ac:dyDescent="0.3">
      <c r="A37" s="7" t="s">
        <v>244</v>
      </c>
      <c r="B37"/>
      <c r="C37"/>
      <c r="D37" s="269"/>
      <c r="E37"/>
      <c r="F37"/>
      <c r="G37"/>
      <c r="H37"/>
      <c r="I37"/>
    </row>
    <row r="38" spans="1:9" x14ac:dyDescent="0.3">
      <c r="A38" s="10" t="s">
        <v>7</v>
      </c>
      <c r="B38" s="10" t="s">
        <v>51</v>
      </c>
      <c r="C38"/>
      <c r="D38" s="269"/>
      <c r="E38"/>
      <c r="F38"/>
      <c r="G38"/>
      <c r="H38"/>
      <c r="I38"/>
    </row>
    <row r="39" spans="1:9" x14ac:dyDescent="0.3">
      <c r="A39" s="9" t="s">
        <v>8</v>
      </c>
      <c r="B39" s="107"/>
      <c r="C39"/>
      <c r="D39" s="268" t="s">
        <v>373</v>
      </c>
      <c r="E39" s="280"/>
      <c r="F39" s="280"/>
      <c r="G39" s="280"/>
      <c r="H39" s="280"/>
      <c r="I39" s="280"/>
    </row>
    <row r="40" spans="1:9" x14ac:dyDescent="0.3">
      <c r="A40" s="9" t="s">
        <v>9</v>
      </c>
      <c r="B40" s="107"/>
      <c r="C40"/>
      <c r="D40" s="269"/>
      <c r="E40" s="280"/>
      <c r="F40" s="280"/>
      <c r="G40" s="280"/>
      <c r="H40" s="280"/>
      <c r="I40" s="280"/>
    </row>
    <row r="41" spans="1:9" x14ac:dyDescent="0.3">
      <c r="A41" s="9" t="s">
        <v>10</v>
      </c>
      <c r="B41" s="107"/>
      <c r="C41"/>
      <c r="D41" s="269"/>
      <c r="E41" s="280"/>
      <c r="F41" s="280"/>
      <c r="G41" s="280"/>
      <c r="H41" s="280"/>
      <c r="I41" s="280"/>
    </row>
    <row r="42" spans="1:9" x14ac:dyDescent="0.3">
      <c r="A42" s="9" t="s">
        <v>11</v>
      </c>
      <c r="B42" s="107"/>
      <c r="C42"/>
      <c r="D42" s="269"/>
      <c r="E42" s="280"/>
      <c r="F42" s="280"/>
      <c r="G42" s="280"/>
      <c r="H42" s="280"/>
      <c r="I42" s="280"/>
    </row>
    <row r="43" spans="1:9" x14ac:dyDescent="0.3">
      <c r="A43" s="9" t="s">
        <v>12</v>
      </c>
      <c r="B43" s="107"/>
      <c r="C43"/>
      <c r="D43" s="269"/>
      <c r="E43" s="280"/>
      <c r="F43" s="280"/>
      <c r="G43" s="280"/>
      <c r="H43" s="280"/>
      <c r="I43" s="280"/>
    </row>
    <row r="44" spans="1:9" x14ac:dyDescent="0.3">
      <c r="A44"/>
      <c r="B44"/>
      <c r="C44"/>
      <c r="D44" s="269"/>
      <c r="E44"/>
      <c r="F44"/>
      <c r="G44"/>
      <c r="H44"/>
      <c r="I44"/>
    </row>
    <row r="45" spans="1:9" x14ac:dyDescent="0.3">
      <c r="A45" s="7" t="s">
        <v>245</v>
      </c>
      <c r="B45"/>
      <c r="C45"/>
      <c r="D45" s="269"/>
      <c r="E45"/>
      <c r="F45"/>
      <c r="G45"/>
      <c r="H45"/>
      <c r="I45"/>
    </row>
    <row r="46" spans="1:9" ht="60" x14ac:dyDescent="0.3">
      <c r="A46" s="19" t="s">
        <v>375</v>
      </c>
      <c r="B46" s="107"/>
      <c r="C46"/>
      <c r="D46" s="234" t="s">
        <v>376</v>
      </c>
      <c r="E46" s="274"/>
      <c r="F46" s="274"/>
      <c r="G46" s="274"/>
      <c r="H46" s="274"/>
      <c r="I46" s="274"/>
    </row>
    <row r="47" spans="1:9" x14ac:dyDescent="0.3">
      <c r="A47" s="9"/>
      <c r="B47"/>
      <c r="C47"/>
      <c r="D47" s="234"/>
      <c r="E47"/>
      <c r="F47"/>
      <c r="G47"/>
      <c r="H47"/>
      <c r="I47"/>
    </row>
    <row r="48" spans="1:9" x14ac:dyDescent="0.3">
      <c r="A48" s="7" t="s">
        <v>242</v>
      </c>
      <c r="B48"/>
      <c r="C48"/>
      <c r="D48" s="234"/>
      <c r="E48"/>
      <c r="F48"/>
      <c r="G48"/>
      <c r="H48"/>
      <c r="I48"/>
    </row>
    <row r="49" spans="1:9" x14ac:dyDescent="0.3">
      <c r="A49" s="9" t="s">
        <v>216</v>
      </c>
      <c r="B49" s="107"/>
      <c r="C49"/>
      <c r="D49" s="268" t="s">
        <v>373</v>
      </c>
      <c r="E49" s="274"/>
      <c r="F49" s="274"/>
      <c r="G49" s="274"/>
      <c r="H49" s="274"/>
      <c r="I49" s="274"/>
    </row>
    <row r="50" spans="1:9" x14ac:dyDescent="0.3">
      <c r="A50" s="9"/>
      <c r="B50"/>
      <c r="C50"/>
    </row>
    <row r="51" spans="1:9" x14ac:dyDescent="0.3">
      <c r="A51"/>
      <c r="B51"/>
      <c r="C51"/>
      <c r="D51"/>
      <c r="E51"/>
      <c r="F51"/>
      <c r="G51"/>
      <c r="H51"/>
      <c r="I51"/>
    </row>
    <row r="52" spans="1:9" x14ac:dyDescent="0.3">
      <c r="A52"/>
      <c r="B52"/>
      <c r="C52"/>
      <c r="D52"/>
      <c r="E52"/>
      <c r="F52"/>
      <c r="G52"/>
      <c r="H52"/>
      <c r="I52"/>
    </row>
    <row r="53" spans="1:9" ht="21" x14ac:dyDescent="0.3">
      <c r="A53" s="98" t="s">
        <v>55</v>
      </c>
      <c r="B53" s="116" t="s">
        <v>2</v>
      </c>
      <c r="C53" s="116" t="s">
        <v>2</v>
      </c>
      <c r="D53" s="116" t="s">
        <v>2</v>
      </c>
      <c r="E53" s="116" t="s">
        <v>2</v>
      </c>
      <c r="F53" s="116" t="s">
        <v>2</v>
      </c>
      <c r="G53" s="116" t="s">
        <v>2</v>
      </c>
      <c r="H53" s="116" t="s">
        <v>2</v>
      </c>
      <c r="I53" s="116" t="s">
        <v>2</v>
      </c>
    </row>
    <row r="54" spans="1:9" x14ac:dyDescent="0.3">
      <c r="A54" s="279" t="s">
        <v>334</v>
      </c>
      <c r="B54" s="279"/>
      <c r="C54" s="279"/>
      <c r="D54" s="279"/>
      <c r="E54" s="279"/>
      <c r="F54" s="279"/>
      <c r="G54" s="102"/>
      <c r="H54" s="102"/>
      <c r="I54" s="102"/>
    </row>
    <row r="55" spans="1:9" ht="18" x14ac:dyDescent="0.35">
      <c r="A55" s="88" t="s">
        <v>247</v>
      </c>
      <c r="B55" t="s">
        <v>2</v>
      </c>
      <c r="D55" s="269"/>
      <c r="E55"/>
      <c r="F55"/>
      <c r="G55"/>
      <c r="H55"/>
      <c r="I55"/>
    </row>
    <row r="56" spans="1:9" x14ac:dyDescent="0.3">
      <c r="A56" s="7" t="s">
        <v>13</v>
      </c>
      <c r="B56"/>
      <c r="C56"/>
      <c r="D56" s="269"/>
      <c r="E56"/>
      <c r="F56"/>
      <c r="G56"/>
      <c r="H56"/>
      <c r="I56"/>
    </row>
    <row r="57" spans="1:9" x14ac:dyDescent="0.3">
      <c r="A57" s="10" t="s">
        <v>7</v>
      </c>
      <c r="B57" s="10" t="s">
        <v>14</v>
      </c>
      <c r="C57" s="10" t="s">
        <v>377</v>
      </c>
      <c r="D57" s="275" t="s">
        <v>373</v>
      </c>
      <c r="E57" s="274"/>
      <c r="F57" s="274"/>
      <c r="G57" s="274"/>
      <c r="H57" s="274"/>
      <c r="I57" s="274"/>
    </row>
    <row r="58" spans="1:9" x14ac:dyDescent="0.3">
      <c r="A58" s="9" t="s">
        <v>279</v>
      </c>
      <c r="B58" s="112"/>
      <c r="C58" s="239">
        <v>0</v>
      </c>
      <c r="D58" s="275"/>
      <c r="E58" s="274"/>
      <c r="F58" s="274"/>
      <c r="G58" s="274"/>
      <c r="H58" s="274"/>
      <c r="I58" s="274"/>
    </row>
    <row r="59" spans="1:9" x14ac:dyDescent="0.3">
      <c r="A59" s="9" t="s">
        <v>17</v>
      </c>
      <c r="B59" s="112"/>
      <c r="C59" s="239">
        <v>0</v>
      </c>
      <c r="D59" s="275"/>
      <c r="E59" s="274"/>
      <c r="F59" s="274"/>
      <c r="G59" s="274"/>
      <c r="H59" s="274"/>
      <c r="I59" s="274"/>
    </row>
    <row r="60" spans="1:9" x14ac:dyDescent="0.3">
      <c r="A60" s="9" t="s">
        <v>18</v>
      </c>
      <c r="B60" s="112"/>
      <c r="C60" s="239">
        <v>0.13</v>
      </c>
      <c r="D60" s="275"/>
      <c r="E60" s="274"/>
      <c r="F60" s="274"/>
      <c r="G60" s="274"/>
      <c r="H60" s="274"/>
      <c r="I60" s="274"/>
    </row>
    <row r="61" spans="1:9" x14ac:dyDescent="0.3">
      <c r="A61" s="9" t="s">
        <v>19</v>
      </c>
      <c r="B61" s="112"/>
      <c r="C61" s="239">
        <v>0</v>
      </c>
      <c r="D61" s="275"/>
      <c r="E61" s="274"/>
      <c r="F61" s="274"/>
      <c r="G61" s="274"/>
      <c r="H61" s="274"/>
      <c r="I61" s="274"/>
    </row>
    <row r="62" spans="1:9" x14ac:dyDescent="0.3">
      <c r="A62" s="9" t="s">
        <v>20</v>
      </c>
      <c r="B62" s="112"/>
      <c r="C62" s="223"/>
      <c r="D62" s="275"/>
      <c r="E62" s="274"/>
      <c r="F62" s="274"/>
      <c r="G62" s="274"/>
      <c r="H62" s="274"/>
      <c r="I62" s="274"/>
    </row>
    <row r="63" spans="1:9" x14ac:dyDescent="0.3">
      <c r="A63"/>
      <c r="B63"/>
      <c r="C63"/>
      <c r="D63" s="269"/>
      <c r="E63"/>
      <c r="F63"/>
      <c r="G63"/>
      <c r="H63"/>
      <c r="I63"/>
    </row>
    <row r="64" spans="1:9" x14ac:dyDescent="0.3">
      <c r="A64" s="7" t="s">
        <v>21</v>
      </c>
      <c r="B64"/>
      <c r="C64"/>
      <c r="D64" s="269"/>
      <c r="E64"/>
      <c r="F64"/>
      <c r="G64"/>
      <c r="H64"/>
      <c r="I64"/>
    </row>
    <row r="65" spans="1:9" x14ac:dyDescent="0.3">
      <c r="A65" s="10" t="s">
        <v>7</v>
      </c>
      <c r="B65" s="10" t="s">
        <v>14</v>
      </c>
      <c r="C65" s="10" t="s">
        <v>15</v>
      </c>
      <c r="D65" s="269"/>
      <c r="E65"/>
      <c r="F65"/>
      <c r="G65"/>
      <c r="H65"/>
      <c r="I65"/>
    </row>
    <row r="66" spans="1:9" x14ac:dyDescent="0.3">
      <c r="A66" s="9" t="s">
        <v>16</v>
      </c>
      <c r="B66" s="112"/>
      <c r="C66" s="117">
        <v>0</v>
      </c>
      <c r="D66" s="275" t="s">
        <v>373</v>
      </c>
      <c r="E66" s="274"/>
      <c r="F66" s="274"/>
      <c r="G66" s="274"/>
      <c r="H66" s="274"/>
      <c r="I66" s="274"/>
    </row>
    <row r="67" spans="1:9" x14ac:dyDescent="0.3">
      <c r="A67" s="9" t="s">
        <v>22</v>
      </c>
      <c r="B67" s="112"/>
      <c r="C67" s="117">
        <v>0</v>
      </c>
      <c r="D67" s="275"/>
      <c r="E67" s="274"/>
      <c r="F67" s="274"/>
      <c r="G67" s="274"/>
      <c r="H67" s="274"/>
      <c r="I67" s="274"/>
    </row>
    <row r="68" spans="1:9" x14ac:dyDescent="0.3">
      <c r="A68"/>
      <c r="B68"/>
      <c r="C68"/>
      <c r="D68" s="115"/>
      <c r="E68"/>
      <c r="F68"/>
      <c r="G68"/>
      <c r="H68"/>
      <c r="I68"/>
    </row>
    <row r="69" spans="1:9" x14ac:dyDescent="0.3">
      <c r="A69" s="7" t="s">
        <v>23</v>
      </c>
      <c r="B69"/>
      <c r="C69"/>
      <c r="D69" s="115"/>
      <c r="E69"/>
      <c r="F69"/>
      <c r="G69"/>
      <c r="H69"/>
      <c r="I69"/>
    </row>
    <row r="70" spans="1:9" x14ac:dyDescent="0.3">
      <c r="A70" s="10" t="s">
        <v>7</v>
      </c>
      <c r="B70" s="10" t="s">
        <v>14</v>
      </c>
      <c r="C70" s="10" t="s">
        <v>15</v>
      </c>
      <c r="D70" s="275" t="s">
        <v>373</v>
      </c>
      <c r="E70" s="274"/>
      <c r="F70" s="274"/>
      <c r="G70" s="274"/>
      <c r="H70" s="274"/>
      <c r="I70" s="274"/>
    </row>
    <row r="71" spans="1:9" x14ac:dyDescent="0.3">
      <c r="A71" s="9" t="s">
        <v>22</v>
      </c>
      <c r="B71" s="112"/>
      <c r="C71" s="117">
        <v>0</v>
      </c>
      <c r="D71" s="275"/>
      <c r="E71" s="274"/>
      <c r="F71" s="274"/>
      <c r="G71" s="274"/>
      <c r="H71" s="274"/>
      <c r="I71" s="274"/>
    </row>
    <row r="72" spans="1:9" x14ac:dyDescent="0.3">
      <c r="A72"/>
      <c r="B72"/>
      <c r="C72"/>
      <c r="D72" s="115"/>
      <c r="E72"/>
      <c r="F72"/>
      <c r="G72"/>
      <c r="H72"/>
      <c r="I72"/>
    </row>
    <row r="73" spans="1:9" x14ac:dyDescent="0.3">
      <c r="A73" s="7" t="s">
        <v>24</v>
      </c>
      <c r="B73"/>
      <c r="C73"/>
      <c r="D73" s="115"/>
      <c r="E73"/>
      <c r="F73"/>
      <c r="G73"/>
      <c r="H73"/>
      <c r="I73"/>
    </row>
    <row r="74" spans="1:9" x14ac:dyDescent="0.3">
      <c r="A74" s="10" t="s">
        <v>7</v>
      </c>
      <c r="B74" s="10" t="s">
        <v>14</v>
      </c>
      <c r="C74" s="10" t="s">
        <v>15</v>
      </c>
      <c r="D74" s="269"/>
      <c r="E74"/>
      <c r="F74"/>
      <c r="G74"/>
      <c r="H74"/>
      <c r="I74"/>
    </row>
    <row r="75" spans="1:9" x14ac:dyDescent="0.3">
      <c r="A75" s="9" t="s">
        <v>25</v>
      </c>
      <c r="B75" s="112"/>
      <c r="C75" s="117">
        <v>0</v>
      </c>
      <c r="D75" s="276" t="s">
        <v>373</v>
      </c>
      <c r="E75" s="277"/>
      <c r="F75" s="277"/>
      <c r="G75" s="277"/>
      <c r="H75" s="277"/>
      <c r="I75" s="277"/>
    </row>
    <row r="76" spans="1:9" x14ac:dyDescent="0.3">
      <c r="A76" s="9" t="s">
        <v>26</v>
      </c>
      <c r="B76" s="112"/>
      <c r="C76" s="117">
        <v>0</v>
      </c>
      <c r="D76" s="276"/>
      <c r="E76" s="277"/>
      <c r="F76" s="277"/>
      <c r="G76" s="277"/>
      <c r="H76" s="277"/>
      <c r="I76" s="277"/>
    </row>
    <row r="77" spans="1:9" x14ac:dyDescent="0.3">
      <c r="A77" s="9"/>
      <c r="B77"/>
      <c r="C77"/>
      <c r="D77"/>
      <c r="E77"/>
      <c r="F77"/>
      <c r="G77"/>
      <c r="H77"/>
      <c r="I77"/>
    </row>
    <row r="78" spans="1:9" x14ac:dyDescent="0.3">
      <c r="A78" s="272" t="s">
        <v>378</v>
      </c>
      <c r="B78" s="272"/>
      <c r="C78" s="272"/>
      <c r="D78" s="272"/>
      <c r="E78" s="272"/>
      <c r="F78" s="272"/>
      <c r="G78"/>
      <c r="H78"/>
      <c r="I78"/>
    </row>
    <row r="79" spans="1:9" ht="31.8" customHeight="1" x14ac:dyDescent="0.3">
      <c r="A79" s="272"/>
      <c r="B79" s="272"/>
      <c r="C79" s="272"/>
      <c r="D79" s="272"/>
      <c r="E79" s="272"/>
      <c r="F79" s="272"/>
      <c r="G79"/>
      <c r="H79"/>
      <c r="I79"/>
    </row>
    <row r="80" spans="1:9" x14ac:dyDescent="0.3">
      <c r="A80" s="273"/>
      <c r="B80" s="273"/>
      <c r="C80" s="273"/>
      <c r="D80" s="273"/>
      <c r="E80" s="273"/>
      <c r="F80" s="273"/>
      <c r="G80" s="273"/>
      <c r="H80" s="273"/>
      <c r="I80" s="273"/>
    </row>
    <row r="81" spans="1:13" x14ac:dyDescent="0.3">
      <c r="A81" s="273"/>
      <c r="B81" s="273"/>
      <c r="C81" s="273"/>
      <c r="D81" s="273"/>
      <c r="E81" s="273"/>
      <c r="F81" s="273"/>
      <c r="G81" s="273"/>
      <c r="H81" s="273"/>
      <c r="I81" s="273"/>
    </row>
    <row r="82" spans="1:13" x14ac:dyDescent="0.3">
      <c r="A82" s="273"/>
      <c r="B82" s="273"/>
      <c r="C82" s="273"/>
      <c r="D82" s="273"/>
      <c r="E82" s="273"/>
      <c r="F82" s="273"/>
      <c r="G82" s="273"/>
      <c r="H82" s="273"/>
      <c r="I82" s="273"/>
    </row>
    <row r="83" spans="1:13" x14ac:dyDescent="0.3">
      <c r="A83"/>
      <c r="B83"/>
      <c r="C83"/>
      <c r="D83"/>
      <c r="E83"/>
      <c r="F83"/>
      <c r="G83"/>
      <c r="H83"/>
      <c r="I83"/>
    </row>
    <row r="84" spans="1:13" ht="21" x14ac:dyDescent="0.3">
      <c r="A84" s="98" t="s">
        <v>259</v>
      </c>
      <c r="B84" s="118"/>
      <c r="C84" s="119"/>
      <c r="D84" s="119"/>
      <c r="E84" s="119"/>
      <c r="F84" s="119"/>
      <c r="G84" s="119"/>
      <c r="H84" s="119"/>
      <c r="I84" s="119"/>
      <c r="J84"/>
      <c r="K84"/>
      <c r="L84"/>
      <c r="M84"/>
    </row>
    <row r="85" spans="1:13" ht="15" thickBot="1" x14ac:dyDescent="0.35">
      <c r="A85"/>
      <c r="B85"/>
      <c r="C85"/>
      <c r="D85" s="120" t="s">
        <v>379</v>
      </c>
      <c r="E85"/>
      <c r="F85"/>
      <c r="G85"/>
      <c r="H85"/>
      <c r="I85"/>
      <c r="J85"/>
      <c r="K85"/>
      <c r="L85"/>
      <c r="M85"/>
    </row>
    <row r="86" spans="1:13" ht="21" thickTop="1" x14ac:dyDescent="0.45">
      <c r="A86" s="121" t="s">
        <v>105</v>
      </c>
      <c r="B86" s="227">
        <f>E104</f>
        <v>0</v>
      </c>
      <c r="C86" s="122" t="s">
        <v>328</v>
      </c>
      <c r="D86" s="108">
        <f>IF(B86,B86/B88,0)</f>
        <v>0</v>
      </c>
      <c r="E86"/>
      <c r="F86"/>
      <c r="G86"/>
      <c r="H86"/>
      <c r="I86"/>
      <c r="J86"/>
      <c r="K86"/>
      <c r="L86"/>
      <c r="M86"/>
    </row>
    <row r="87" spans="1:13" ht="20.399999999999999" x14ac:dyDescent="0.45">
      <c r="A87" s="123" t="s">
        <v>106</v>
      </c>
      <c r="B87" s="228">
        <f>E123-G123</f>
        <v>0</v>
      </c>
      <c r="C87" s="124" t="s">
        <v>328</v>
      </c>
      <c r="D87" s="108">
        <f>IF(B87,B87/B88,0)</f>
        <v>0</v>
      </c>
      <c r="E87"/>
      <c r="F87"/>
      <c r="G87"/>
      <c r="H87"/>
      <c r="I87"/>
      <c r="J87"/>
      <c r="K87"/>
      <c r="L87"/>
      <c r="M87"/>
    </row>
    <row r="88" spans="1:13" ht="21" thickBot="1" x14ac:dyDescent="0.5">
      <c r="A88" s="125" t="s">
        <v>107</v>
      </c>
      <c r="B88" s="229">
        <f>B86+B87</f>
        <v>0</v>
      </c>
      <c r="C88" s="126" t="s">
        <v>328</v>
      </c>
      <c r="D88"/>
      <c r="E88"/>
      <c r="F88"/>
      <c r="G88"/>
      <c r="H88"/>
      <c r="I88"/>
      <c r="J88"/>
      <c r="K88"/>
      <c r="L88"/>
      <c r="M88"/>
    </row>
    <row r="89" spans="1:13" ht="15" thickTop="1" x14ac:dyDescent="0.3">
      <c r="A89"/>
      <c r="B89"/>
      <c r="C89"/>
      <c r="D89"/>
      <c r="E89"/>
      <c r="F89"/>
      <c r="G89"/>
      <c r="H89"/>
      <c r="I89"/>
      <c r="J89"/>
      <c r="K89"/>
      <c r="L89"/>
      <c r="M89"/>
    </row>
    <row r="90" spans="1:13" x14ac:dyDescent="0.3">
      <c r="A90"/>
      <c r="B90"/>
      <c r="C90"/>
      <c r="D90"/>
      <c r="E90"/>
      <c r="F90"/>
      <c r="G90"/>
      <c r="H90"/>
      <c r="I90"/>
      <c r="J90"/>
      <c r="K90"/>
      <c r="L90"/>
      <c r="M90"/>
    </row>
    <row r="91" spans="1:13" ht="18" x14ac:dyDescent="0.3">
      <c r="A91" s="127" t="s">
        <v>335</v>
      </c>
      <c r="B91" s="128" t="s">
        <v>2</v>
      </c>
      <c r="C91" s="128" t="s">
        <v>2</v>
      </c>
      <c r="D91" s="128" t="s">
        <v>2</v>
      </c>
      <c r="E91" s="128" t="s">
        <v>2</v>
      </c>
      <c r="F91" s="128" t="s">
        <v>2</v>
      </c>
      <c r="G91" s="128" t="s">
        <v>2</v>
      </c>
      <c r="H91" s="128" t="s">
        <v>2</v>
      </c>
      <c r="I91" s="128" t="s">
        <v>2</v>
      </c>
      <c r="J91"/>
      <c r="K91"/>
      <c r="L91"/>
      <c r="M91"/>
    </row>
    <row r="92" spans="1:13" ht="28.8" x14ac:dyDescent="0.3">
      <c r="A92" s="1" t="s">
        <v>6</v>
      </c>
      <c r="B92" s="129" t="s">
        <v>74</v>
      </c>
      <c r="C92" s="129" t="s">
        <v>76</v>
      </c>
      <c r="D92" s="129" t="s">
        <v>78</v>
      </c>
      <c r="E92" s="129" t="s">
        <v>80</v>
      </c>
      <c r="F92" s="120" t="s">
        <v>380</v>
      </c>
      <c r="G92"/>
      <c r="H92"/>
      <c r="I92"/>
      <c r="J92"/>
      <c r="K92"/>
      <c r="L92"/>
      <c r="M92"/>
    </row>
    <row r="93" spans="1:13" x14ac:dyDescent="0.3">
      <c r="A93" s="1"/>
      <c r="B93" s="129" t="s">
        <v>75</v>
      </c>
      <c r="C93" s="129" t="s">
        <v>77</v>
      </c>
      <c r="D93" s="129" t="s">
        <v>79</v>
      </c>
      <c r="E93" s="129" t="s">
        <v>81</v>
      </c>
      <c r="F93" s="105"/>
      <c r="G93"/>
      <c r="H93"/>
      <c r="I93"/>
      <c r="J93"/>
      <c r="K93"/>
      <c r="L93"/>
      <c r="M93"/>
    </row>
    <row r="94" spans="1:13" x14ac:dyDescent="0.3">
      <c r="A94" s="7" t="s">
        <v>381</v>
      </c>
      <c r="B94" s="27"/>
      <c r="C94" s="27"/>
      <c r="D94" s="27"/>
      <c r="E94" s="27"/>
      <c r="F94" s="108">
        <f>IF(SUM(E95:E99),SUM(E95:E99)/E104,0)</f>
        <v>0</v>
      </c>
      <c r="G94"/>
      <c r="H94"/>
      <c r="I94"/>
      <c r="J94"/>
      <c r="K94"/>
      <c r="L94"/>
      <c r="M94"/>
    </row>
    <row r="95" spans="1:13" x14ac:dyDescent="0.3">
      <c r="A95" s="9" t="s">
        <v>27</v>
      </c>
      <c r="B95" s="132">
        <f>BlgNG__therms_used*NG_MTCO2_therm</f>
        <v>0</v>
      </c>
      <c r="C95" s="132">
        <f>BlgNG__therms_used*NG_MTCH4_therm</f>
        <v>0</v>
      </c>
      <c r="D95" s="132">
        <f>BlgNG__therms_used*NG_MTN2O_therms</f>
        <v>0</v>
      </c>
      <c r="E95" s="132">
        <f>B95+(C95*GWP_CH4)+(D95*GWP_N2O)</f>
        <v>0</v>
      </c>
      <c r="F95" s="78"/>
      <c r="G95"/>
      <c r="H95"/>
      <c r="I95"/>
      <c r="J95"/>
      <c r="K95"/>
      <c r="L95"/>
      <c r="M95"/>
    </row>
    <row r="96" spans="1:13" x14ac:dyDescent="0.3">
      <c r="A96" s="9" t="s">
        <v>22</v>
      </c>
      <c r="B96" s="132">
        <f>BlgDiesel__gals_used*Diesel_MTCO2_gal</f>
        <v>0</v>
      </c>
      <c r="C96" s="132">
        <f>BlgDiesel__gals_used*Diesel_MTCH4_gal</f>
        <v>0</v>
      </c>
      <c r="D96" s="132">
        <f>BlgDiesel__gals_used*Diesel_MTN2O_gal</f>
        <v>0</v>
      </c>
      <c r="E96" s="132">
        <f>B96+(C96*GWP_CH4)+(D96*GWP_N2O)</f>
        <v>0</v>
      </c>
      <c r="F96" s="78"/>
      <c r="G96" t="s">
        <v>2</v>
      </c>
      <c r="H96"/>
      <c r="I96"/>
      <c r="J96"/>
      <c r="K96"/>
      <c r="L96"/>
      <c r="M96"/>
    </row>
    <row r="97" spans="1:13" x14ac:dyDescent="0.3">
      <c r="A97" s="9" t="s">
        <v>20</v>
      </c>
      <c r="B97" s="132">
        <f>BlgPropane__gals_used*Propane_MTCO2_gal</f>
        <v>0</v>
      </c>
      <c r="C97" s="132">
        <f>BlgPropane__gals_used*Propane_MTCH4_gal</f>
        <v>0</v>
      </c>
      <c r="D97" s="132">
        <f>BlgPropane__gals_used*Propane_MTN2O_gal</f>
        <v>0</v>
      </c>
      <c r="E97" s="132">
        <f>B97+(C97*GWP_CH4)+(D97*GWP_N2O)</f>
        <v>0</v>
      </c>
      <c r="F97" s="78"/>
      <c r="G97" t="s">
        <v>2</v>
      </c>
      <c r="H97"/>
      <c r="I97"/>
      <c r="J97"/>
      <c r="K97"/>
      <c r="L97"/>
      <c r="M97"/>
    </row>
    <row r="98" spans="1:13" x14ac:dyDescent="0.3">
      <c r="A98" s="9" t="s">
        <v>28</v>
      </c>
      <c r="B98" s="132">
        <f>BlgFuelOil__gals_used*FuelOil_MTCO2_gal</f>
        <v>0</v>
      </c>
      <c r="C98" s="132">
        <f>BlgFuelOil__gals_used*FuelOil_MTCH4_gal</f>
        <v>0</v>
      </c>
      <c r="D98" s="132">
        <f>BlgFuelOil__gals_used*FuelOil_MTN2O_gal</f>
        <v>0</v>
      </c>
      <c r="E98" s="132">
        <f>B98+(C98*GWP_CH4)+(D98*GWP_N2O)</f>
        <v>0</v>
      </c>
      <c r="F98" s="78"/>
      <c r="G98"/>
      <c r="H98"/>
      <c r="I98"/>
      <c r="J98"/>
      <c r="K98"/>
      <c r="L98"/>
      <c r="M98"/>
    </row>
    <row r="99" spans="1:13" x14ac:dyDescent="0.3">
      <c r="A99" s="9" t="s">
        <v>16</v>
      </c>
      <c r="B99" s="132">
        <f>BlgGasoline__gals_used*Gasoline_MTCO2_gal</f>
        <v>0</v>
      </c>
      <c r="C99" s="132">
        <f>BlgGasoline__gals_used*Gasonline_MTCH4_gal</f>
        <v>0</v>
      </c>
      <c r="D99" s="132">
        <f>BlgGasoline__gals_used*Gasoline_MTN2O_gal</f>
        <v>0</v>
      </c>
      <c r="E99" s="132">
        <f>B99+(C99*GWP_CH4)+(D99*GWP_N2O)</f>
        <v>0</v>
      </c>
      <c r="F99" s="78"/>
      <c r="G99" t="s">
        <v>2</v>
      </c>
      <c r="H99"/>
      <c r="I99"/>
      <c r="J99"/>
      <c r="K99"/>
      <c r="L99"/>
      <c r="M99"/>
    </row>
    <row r="100" spans="1:13" x14ac:dyDescent="0.3">
      <c r="A100" s="7" t="s">
        <v>382</v>
      </c>
      <c r="B100" s="27"/>
      <c r="C100" s="27"/>
      <c r="D100" s="27"/>
      <c r="E100" s="225"/>
      <c r="F100" s="108">
        <f>IF(SUM(E101:E102),SUM(E101:E102)/E104,0)</f>
        <v>0</v>
      </c>
      <c r="G100" t="s">
        <v>2</v>
      </c>
      <c r="H100"/>
      <c r="I100"/>
      <c r="J100"/>
      <c r="K100"/>
      <c r="L100"/>
      <c r="M100"/>
    </row>
    <row r="101" spans="1:13" x14ac:dyDescent="0.3">
      <c r="A101" s="9" t="s">
        <v>243</v>
      </c>
      <c r="B101" s="132">
        <f>(A__WA_State_Avg_Retail_Electricity__kWh*WA_Elect_MT_CO2_kWh)</f>
        <v>0</v>
      </c>
      <c r="C101" s="132">
        <f>A__WA_State_Avg_Retail_Electricity__kWh*Reference!F27</f>
        <v>0</v>
      </c>
      <c r="D101" s="132">
        <f>A__WA_State_Avg_Retail_Electricity__kWh*Reference!H27</f>
        <v>0</v>
      </c>
      <c r="E101" s="132">
        <f>B101+(C101*GWP_CH4)+(D101*GWP_N2O)</f>
        <v>0</v>
      </c>
      <c r="F101" s="78"/>
      <c r="G101" t="s">
        <v>2</v>
      </c>
      <c r="H101"/>
      <c r="I101"/>
      <c r="J101"/>
      <c r="K101"/>
      <c r="L101"/>
      <c r="M101"/>
    </row>
    <row r="102" spans="1:13" x14ac:dyDescent="0.3">
      <c r="A102" s="9" t="s">
        <v>264</v>
      </c>
      <c r="B102" s="132">
        <f>Purchased_Steam__klbs*Reference!D32</f>
        <v>0</v>
      </c>
      <c r="C102" s="132">
        <f>Purchased_Steam__klbs*Reference!F32</f>
        <v>0</v>
      </c>
      <c r="D102" s="132">
        <f>Purchased_Steam__klbs*Reference!H32</f>
        <v>0</v>
      </c>
      <c r="E102" s="132">
        <f>B102+(C102*GWP_CH4)+(D102*GWP_N2O)</f>
        <v>0</v>
      </c>
      <c r="F102" s="78"/>
      <c r="G102"/>
      <c r="H102"/>
      <c r="I102"/>
      <c r="J102"/>
      <c r="K102"/>
      <c r="L102"/>
      <c r="M102"/>
    </row>
    <row r="103" spans="1:13" x14ac:dyDescent="0.3">
      <c r="A103" s="29"/>
      <c r="B103" s="27"/>
      <c r="C103" s="27"/>
      <c r="D103" s="27"/>
      <c r="E103" s="27"/>
      <c r="F103" s="78"/>
      <c r="G103"/>
      <c r="H103"/>
      <c r="I103"/>
      <c r="J103"/>
      <c r="K103"/>
      <c r="L103"/>
      <c r="M103"/>
    </row>
    <row r="104" spans="1:13" ht="18" x14ac:dyDescent="0.35">
      <c r="A104" s="130" t="s">
        <v>84</v>
      </c>
      <c r="B104" s="226">
        <f>SUM(B95:B102)</f>
        <v>0</v>
      </c>
      <c r="C104" s="226">
        <f>SUM(C95:C102)</f>
        <v>0</v>
      </c>
      <c r="D104" s="226">
        <f>SUM(D95:D102)</f>
        <v>0</v>
      </c>
      <c r="E104" s="226">
        <f>SUM(E95:E102)</f>
        <v>0</v>
      </c>
      <c r="F104" s="78"/>
      <c r="G104"/>
      <c r="H104"/>
      <c r="I104"/>
      <c r="J104"/>
      <c r="K104"/>
      <c r="L104"/>
      <c r="M104"/>
    </row>
    <row r="105" spans="1:13" x14ac:dyDescent="0.3">
      <c r="A105"/>
      <c r="B105"/>
      <c r="C105"/>
      <c r="D105"/>
      <c r="E105"/>
      <c r="F105"/>
      <c r="G105"/>
      <c r="H105"/>
      <c r="I105"/>
      <c r="J105"/>
      <c r="K105"/>
      <c r="L105"/>
      <c r="M105"/>
    </row>
    <row r="106" spans="1:13" ht="18" x14ac:dyDescent="0.3">
      <c r="A106" s="127" t="s">
        <v>336</v>
      </c>
      <c r="B106" s="128" t="s">
        <v>2</v>
      </c>
      <c r="C106" s="128" t="s">
        <v>2</v>
      </c>
      <c r="D106" s="128" t="s">
        <v>2</v>
      </c>
      <c r="E106" s="128" t="s">
        <v>2</v>
      </c>
      <c r="F106" s="128"/>
      <c r="G106" s="131"/>
      <c r="H106" s="128"/>
      <c r="I106" s="128"/>
      <c r="J106"/>
      <c r="K106"/>
      <c r="L106"/>
      <c r="M106"/>
    </row>
    <row r="107" spans="1:13" ht="30" x14ac:dyDescent="0.3">
      <c r="A107" s="1" t="s">
        <v>6</v>
      </c>
      <c r="B107" s="129" t="s">
        <v>74</v>
      </c>
      <c r="C107" s="129" t="s">
        <v>76</v>
      </c>
      <c r="D107" s="129" t="s">
        <v>78</v>
      </c>
      <c r="E107" s="129" t="s">
        <v>80</v>
      </c>
      <c r="F107" s="129" t="s">
        <v>82</v>
      </c>
      <c r="G107" s="129" t="s">
        <v>83</v>
      </c>
      <c r="H107" s="129" t="s">
        <v>383</v>
      </c>
      <c r="I107" s="129" t="s">
        <v>109</v>
      </c>
      <c r="J107" s="120" t="s">
        <v>384</v>
      </c>
      <c r="K107"/>
      <c r="L107"/>
      <c r="M107"/>
    </row>
    <row r="108" spans="1:13" x14ac:dyDescent="0.3">
      <c r="A108" s="1"/>
      <c r="B108" s="129" t="s">
        <v>75</v>
      </c>
      <c r="C108" s="129" t="s">
        <v>77</v>
      </c>
      <c r="D108" s="129" t="s">
        <v>79</v>
      </c>
      <c r="E108" s="129" t="s">
        <v>81</v>
      </c>
      <c r="F108" s="129" t="s">
        <v>75</v>
      </c>
      <c r="G108" s="129" t="s">
        <v>75</v>
      </c>
      <c r="H108" s="129" t="s">
        <v>108</v>
      </c>
      <c r="I108" s="129" t="s">
        <v>108</v>
      </c>
      <c r="J108" s="78"/>
      <c r="K108"/>
      <c r="L108"/>
      <c r="M108"/>
    </row>
    <row r="109" spans="1:13" x14ac:dyDescent="0.3">
      <c r="A109" s="7" t="s">
        <v>31</v>
      </c>
      <c r="B109" s="28"/>
      <c r="C109" s="28"/>
      <c r="D109" s="28"/>
      <c r="E109" s="28"/>
      <c r="F109" s="28"/>
      <c r="G109" s="28"/>
      <c r="H109"/>
      <c r="I109"/>
      <c r="J109" s="108">
        <f>IF(SUM(F110:F114),SUM(F110:F114)/F123,0)</f>
        <v>0</v>
      </c>
      <c r="K109"/>
      <c r="L109"/>
      <c r="M109"/>
    </row>
    <row r="110" spans="1:13" x14ac:dyDescent="0.3">
      <c r="A110" s="9" t="s">
        <v>16</v>
      </c>
      <c r="B110" s="132">
        <f>F110+G110</f>
        <v>0</v>
      </c>
      <c r="C110" s="132">
        <f>(H110*Reference!F40)+(Report!I110*Reference!F41)</f>
        <v>0</v>
      </c>
      <c r="D110" s="132">
        <f>(H110*Reference!H40)+(H110*Reference!H41)</f>
        <v>0</v>
      </c>
      <c r="E110" s="132">
        <f>B110+(C110*GWP_CH4)+(D110*GWP_N2O)</f>
        <v>0</v>
      </c>
      <c r="F110" s="133">
        <f>H110*Reference!D40</f>
        <v>0</v>
      </c>
      <c r="G110" s="133">
        <f>I110*Reference!D41</f>
        <v>0</v>
      </c>
      <c r="H110" s="133">
        <f>MVGasoline_gas_used-(MVGasoline_gas_used*C58)</f>
        <v>0</v>
      </c>
      <c r="I110" s="133">
        <f>MVGasoline_gas_used*C58</f>
        <v>0</v>
      </c>
      <c r="J110" s="78"/>
      <c r="K110"/>
      <c r="L110"/>
      <c r="M110"/>
    </row>
    <row r="111" spans="1:13" x14ac:dyDescent="0.3">
      <c r="A111" s="9" t="s">
        <v>17</v>
      </c>
      <c r="B111" s="132">
        <f t="shared" ref="B111:B114" si="0">F111+G111</f>
        <v>0</v>
      </c>
      <c r="C111" s="132">
        <f>(H111*Reference!F42)+(Report!I111*Reference!F43)</f>
        <v>0</v>
      </c>
      <c r="D111" s="132">
        <f>(H111*Reference!H42)+(H111*Reference!H43)</f>
        <v>0</v>
      </c>
      <c r="E111" s="132">
        <f>B111+(C111*GWP_CH4)+(D111*GWP_N2O)</f>
        <v>0</v>
      </c>
      <c r="F111" s="133">
        <f>H111*Reference!D42</f>
        <v>0</v>
      </c>
      <c r="G111" s="133">
        <f>I111*B100_CO2_MT_gal</f>
        <v>0</v>
      </c>
      <c r="H111" s="133">
        <f>MVDieselRetail_gals_used-(MVDieselRetail_gals_used*C59)</f>
        <v>0</v>
      </c>
      <c r="I111" s="133">
        <f>MVDieselRetail_gals_used*C59</f>
        <v>0</v>
      </c>
      <c r="J111" s="78"/>
      <c r="K111"/>
      <c r="L111"/>
      <c r="M111"/>
    </row>
    <row r="112" spans="1:13" x14ac:dyDescent="0.3">
      <c r="A112" s="9" t="s">
        <v>18</v>
      </c>
      <c r="B112" s="132">
        <f t="shared" si="0"/>
        <v>0</v>
      </c>
      <c r="C112" s="132">
        <f>(H112*Reference!F42)+(Report!I112*Reference!F3)</f>
        <v>0</v>
      </c>
      <c r="D112" s="132">
        <f>(H112*Reference!H42)+(H112*Reference!H43)</f>
        <v>0</v>
      </c>
      <c r="E112" s="132">
        <f>B112+(C112*GWP_CH4)+(D112*GWP_N2O)</f>
        <v>0</v>
      </c>
      <c r="F112" s="133">
        <f>H112*Reference!D42</f>
        <v>0</v>
      </c>
      <c r="G112" s="133">
        <f>I112*B100_CO2_MT_gal</f>
        <v>0</v>
      </c>
      <c r="H112" s="133">
        <f>MVDieselWSDOT_gals_used-(MVDieselWSDOT_gals_used*C60)</f>
        <v>0</v>
      </c>
      <c r="I112" s="133">
        <f>MVDieselWSDOT_gals_used*C60</f>
        <v>0</v>
      </c>
      <c r="J112" s="78"/>
      <c r="K112"/>
      <c r="L112"/>
      <c r="M112"/>
    </row>
    <row r="113" spans="1:13" x14ac:dyDescent="0.3">
      <c r="A113" s="9" t="s">
        <v>19</v>
      </c>
      <c r="B113" s="132">
        <f t="shared" si="0"/>
        <v>0</v>
      </c>
      <c r="C113" s="132">
        <f>(H113*Reference!F42)+(Report!I113*Reference!F43)</f>
        <v>0</v>
      </c>
      <c r="D113" s="132">
        <f>(H113*Reference!H42)+(H113*Reference!H43)</f>
        <v>0</v>
      </c>
      <c r="E113" s="132">
        <f>B113+(C113*GWP_CH4)+(D113*GWP_N2O)</f>
        <v>0</v>
      </c>
      <c r="F113" s="133">
        <f>H113*Reference!D42</f>
        <v>0</v>
      </c>
      <c r="G113" s="133">
        <f>I113*B100_CO2_MT_gal</f>
        <v>0</v>
      </c>
      <c r="H113" s="133">
        <f>MVDieselBulk_gals_used-(MVDieselBulk_gals_used*C61)</f>
        <v>0</v>
      </c>
      <c r="I113" s="133">
        <f>MVDieselBulk_gals_used*C61</f>
        <v>0</v>
      </c>
      <c r="J113" s="78"/>
      <c r="K113"/>
      <c r="L113"/>
      <c r="M113"/>
    </row>
    <row r="114" spans="1:13" x14ac:dyDescent="0.3">
      <c r="A114" s="9" t="s">
        <v>20</v>
      </c>
      <c r="B114" s="132">
        <f t="shared" si="0"/>
        <v>0</v>
      </c>
      <c r="C114" s="132">
        <f>(H114*Reference!F44)</f>
        <v>0</v>
      </c>
      <c r="D114" s="132">
        <f>(H114*Reference!H44)</f>
        <v>0</v>
      </c>
      <c r="E114" s="132">
        <f>B114+(C114*GWP_CH4)+(D114*GWP_N2O)</f>
        <v>0</v>
      </c>
      <c r="F114" s="133">
        <f>H114*Reference!D44</f>
        <v>0</v>
      </c>
      <c r="G114" s="133"/>
      <c r="H114" s="133">
        <f>MVPropane_gals_used-(MVPropane_gals_used*C62)</f>
        <v>0</v>
      </c>
      <c r="I114" s="133">
        <f>MVPropane_gals_used*C62</f>
        <v>0</v>
      </c>
      <c r="J114" s="78"/>
      <c r="K114"/>
      <c r="L114"/>
      <c r="M114"/>
    </row>
    <row r="115" spans="1:13" x14ac:dyDescent="0.3">
      <c r="A115" s="7" t="s">
        <v>21</v>
      </c>
      <c r="B115" s="134"/>
      <c r="C115" s="134"/>
      <c r="D115" s="134"/>
      <c r="E115" s="134"/>
      <c r="F115" s="134"/>
      <c r="G115" s="134"/>
      <c r="H115" s="134"/>
      <c r="I115" s="134"/>
      <c r="J115" s="108">
        <f>IF(SUM(E116:E117),SUM(E116:E117)/E123,0)</f>
        <v>0</v>
      </c>
      <c r="K115"/>
      <c r="L115"/>
      <c r="M115"/>
    </row>
    <row r="116" spans="1:13" x14ac:dyDescent="0.3">
      <c r="A116" s="9" t="s">
        <v>16</v>
      </c>
      <c r="B116" s="132">
        <f t="shared" ref="B116:B122" si="1">F116+G116</f>
        <v>0</v>
      </c>
      <c r="C116" s="132">
        <f>(H116*Reference!F40)+(Report!I116*Reference!F41)</f>
        <v>0</v>
      </c>
      <c r="D116" s="132">
        <f>(H116*Reference!H40)+(H116*Reference!H41)</f>
        <v>0</v>
      </c>
      <c r="E116" s="132">
        <f>B116+(C116*GWP_CH4)+(D116*GWP_N2O)</f>
        <v>0</v>
      </c>
      <c r="F116" s="133">
        <f>H116*Reference!D40</f>
        <v>0</v>
      </c>
      <c r="G116" s="133">
        <f>I116*Reference!D41</f>
        <v>0</v>
      </c>
      <c r="H116" s="133">
        <f>B66-(B66*C66)</f>
        <v>0</v>
      </c>
      <c r="I116" s="133">
        <f>B66*C66</f>
        <v>0</v>
      </c>
      <c r="J116" s="78"/>
      <c r="K116"/>
      <c r="L116"/>
      <c r="M116"/>
    </row>
    <row r="117" spans="1:13" x14ac:dyDescent="0.3">
      <c r="A117" s="9" t="s">
        <v>22</v>
      </c>
      <c r="B117" s="132">
        <f t="shared" si="1"/>
        <v>0</v>
      </c>
      <c r="C117" s="132">
        <f>(H117*Reference!F42)+(Report!I117*Reference!F43)</f>
        <v>0</v>
      </c>
      <c r="D117" s="132">
        <f>(H117*Reference!H42)+(H117*Reference!H43)</f>
        <v>0</v>
      </c>
      <c r="E117" s="132">
        <f>B117+(C117*GWP_CH4)+(D117*GWP_N2O)</f>
        <v>0</v>
      </c>
      <c r="F117" s="133">
        <f>H117*Reference!D42</f>
        <v>0</v>
      </c>
      <c r="G117" s="133">
        <f>I117*B100_CO2_MT_gal</f>
        <v>0</v>
      </c>
      <c r="H117" s="133">
        <f>B67-(B67*C67)</f>
        <v>0</v>
      </c>
      <c r="I117" s="133">
        <f>B67*C67</f>
        <v>0</v>
      </c>
      <c r="J117" s="78"/>
      <c r="K117"/>
      <c r="L117"/>
      <c r="M117"/>
    </row>
    <row r="118" spans="1:13" x14ac:dyDescent="0.3">
      <c r="A118" s="7" t="s">
        <v>23</v>
      </c>
      <c r="B118" s="134"/>
      <c r="C118" s="134"/>
      <c r="D118" s="134"/>
      <c r="E118" s="134"/>
      <c r="F118" s="134"/>
      <c r="G118" s="134"/>
      <c r="H118" s="134"/>
      <c r="I118" s="134"/>
      <c r="J118" s="108">
        <f>IF(E119,E119/E123,0)</f>
        <v>0</v>
      </c>
      <c r="K118"/>
      <c r="L118"/>
      <c r="M118"/>
    </row>
    <row r="119" spans="1:13" x14ac:dyDescent="0.3">
      <c r="A119" s="9" t="s">
        <v>22</v>
      </c>
      <c r="B119" s="132">
        <f t="shared" si="1"/>
        <v>0</v>
      </c>
      <c r="C119" s="224">
        <f>(H119*Reference!F42)*(I119*Reference!F43)</f>
        <v>0</v>
      </c>
      <c r="D119" s="224">
        <f>(H119*Reference!H42)*(I119*Reference!H43)</f>
        <v>0</v>
      </c>
      <c r="E119" s="132">
        <f>B119+(C119*GWP_CH4)+(D119*GWP_N2O)</f>
        <v>0</v>
      </c>
      <c r="F119" s="132">
        <f>H119*Reference!D42</f>
        <v>0</v>
      </c>
      <c r="G119" s="132">
        <f>I119*B100_CO2_MT_gal</f>
        <v>0</v>
      </c>
      <c r="H119" s="133">
        <f>B71-(B71*C71)</f>
        <v>0</v>
      </c>
      <c r="I119" s="133">
        <f>Fleet_Diesel_Ferries_used*C71</f>
        <v>0</v>
      </c>
      <c r="J119" s="78"/>
      <c r="K119"/>
      <c r="L119"/>
      <c r="M119"/>
    </row>
    <row r="120" spans="1:13" x14ac:dyDescent="0.3">
      <c r="A120" s="7" t="s">
        <v>24</v>
      </c>
      <c r="B120" s="134"/>
      <c r="C120" s="134"/>
      <c r="D120" s="134"/>
      <c r="E120" s="134"/>
      <c r="F120" s="134"/>
      <c r="G120" s="134"/>
      <c r="H120" s="134"/>
      <c r="I120" s="134"/>
      <c r="J120" s="108">
        <f>IF(SUM(F121:F122),SUM(F121:F122)/F123,0)</f>
        <v>0</v>
      </c>
      <c r="K120"/>
      <c r="L120"/>
      <c r="M120"/>
    </row>
    <row r="121" spans="1:13" x14ac:dyDescent="0.3">
      <c r="A121" s="9" t="s">
        <v>25</v>
      </c>
      <c r="B121" s="132">
        <f t="shared" si="1"/>
        <v>0</v>
      </c>
      <c r="C121" s="132">
        <f>(H121*Reference!F45)+(I121*Reference!F41)</f>
        <v>0</v>
      </c>
      <c r="D121" s="132">
        <f>(H121*Reference!H45)+(I121*Reference!H41)</f>
        <v>0</v>
      </c>
      <c r="E121" s="132">
        <f>B121+(C121*GWP_CH4)+(D121*GWP_N2O)</f>
        <v>0</v>
      </c>
      <c r="F121" s="133">
        <f>H121*Reference!D45</f>
        <v>0</v>
      </c>
      <c r="G121" s="133"/>
      <c r="H121" s="133">
        <f>B75-(B75*C75)</f>
        <v>0</v>
      </c>
      <c r="I121" s="133">
        <f>AvGas_used*C75</f>
        <v>0</v>
      </c>
      <c r="J121" s="78"/>
      <c r="K121"/>
      <c r="L121"/>
      <c r="M121"/>
    </row>
    <row r="122" spans="1:13" x14ac:dyDescent="0.3">
      <c r="A122" s="9" t="s">
        <v>26</v>
      </c>
      <c r="B122" s="132">
        <f t="shared" si="1"/>
        <v>0</v>
      </c>
      <c r="C122" s="132">
        <f>(H122*Reference!F46)</f>
        <v>0</v>
      </c>
      <c r="D122" s="132">
        <f>(H122*Reference!H46)</f>
        <v>0</v>
      </c>
      <c r="E122" s="132">
        <f>B122+(C122*GWP_CH4)+(D122*GWP_N2O)</f>
        <v>0</v>
      </c>
      <c r="F122" s="133">
        <f>H122*Reference!D46</f>
        <v>0</v>
      </c>
      <c r="G122" s="133"/>
      <c r="H122" s="133">
        <f>B76-(B76*C76)</f>
        <v>0</v>
      </c>
      <c r="I122" s="133">
        <f>B76*C76</f>
        <v>0</v>
      </c>
      <c r="J122" s="78"/>
      <c r="K122"/>
      <c r="L122"/>
      <c r="M122"/>
    </row>
    <row r="123" spans="1:13" ht="18" x14ac:dyDescent="0.3">
      <c r="A123" s="135" t="s">
        <v>223</v>
      </c>
      <c r="B123" s="136">
        <f>SUM(B110:B122)</f>
        <v>0</v>
      </c>
      <c r="C123" s="136">
        <f t="shared" ref="C123:I123" si="2">SUM(C110:C122)</f>
        <v>0</v>
      </c>
      <c r="D123" s="136">
        <f t="shared" si="2"/>
        <v>0</v>
      </c>
      <c r="E123" s="136">
        <f t="shared" si="2"/>
        <v>0</v>
      </c>
      <c r="F123" s="136">
        <f t="shared" si="2"/>
        <v>0</v>
      </c>
      <c r="G123" s="136">
        <f t="shared" si="2"/>
        <v>0</v>
      </c>
      <c r="H123" s="136">
        <f t="shared" si="2"/>
        <v>0</v>
      </c>
      <c r="I123" s="136">
        <f t="shared" si="2"/>
        <v>0</v>
      </c>
      <c r="J123" s="78"/>
      <c r="K123"/>
      <c r="L123"/>
      <c r="M123"/>
    </row>
    <row r="124" spans="1:13" x14ac:dyDescent="0.3">
      <c r="A124"/>
      <c r="B124"/>
      <c r="C124"/>
      <c r="D124"/>
      <c r="E124"/>
      <c r="F124"/>
      <c r="G124"/>
      <c r="H124"/>
      <c r="I124"/>
      <c r="J124"/>
      <c r="K124"/>
      <c r="L124"/>
      <c r="M124"/>
    </row>
    <row r="125" spans="1:13" x14ac:dyDescent="0.3">
      <c r="A125"/>
      <c r="B125"/>
      <c r="C125"/>
      <c r="D125"/>
      <c r="E125"/>
      <c r="F125"/>
      <c r="G125"/>
      <c r="H125"/>
      <c r="I125"/>
      <c r="J125"/>
      <c r="K125"/>
      <c r="L125"/>
      <c r="M125"/>
    </row>
    <row r="126" spans="1:13" x14ac:dyDescent="0.3">
      <c r="A126"/>
      <c r="B126"/>
      <c r="C126"/>
      <c r="D126"/>
      <c r="E126"/>
      <c r="F126"/>
      <c r="G126"/>
      <c r="H126"/>
      <c r="I126"/>
      <c r="J126"/>
      <c r="K126"/>
      <c r="L126"/>
      <c r="M126"/>
    </row>
    <row r="127" spans="1:13" x14ac:dyDescent="0.3">
      <c r="A127"/>
      <c r="B127"/>
      <c r="C127"/>
      <c r="D127"/>
      <c r="E127"/>
      <c r="F127"/>
      <c r="G127"/>
      <c r="H127"/>
      <c r="I127"/>
      <c r="J127"/>
      <c r="K127"/>
      <c r="L127"/>
      <c r="M127"/>
    </row>
    <row r="128" spans="1:13" x14ac:dyDescent="0.3">
      <c r="A128"/>
      <c r="B128"/>
      <c r="C128"/>
      <c r="D128"/>
      <c r="E128"/>
      <c r="F128"/>
      <c r="G128"/>
      <c r="H128"/>
      <c r="I128"/>
      <c r="J128"/>
      <c r="K128"/>
      <c r="L128"/>
      <c r="M128"/>
    </row>
    <row r="129" spans="1:13" x14ac:dyDescent="0.3">
      <c r="A129"/>
      <c r="B129"/>
      <c r="C129"/>
      <c r="D129"/>
      <c r="E129"/>
      <c r="F129"/>
      <c r="G129"/>
      <c r="H129"/>
      <c r="I129"/>
      <c r="J129"/>
      <c r="K129"/>
      <c r="L129"/>
      <c r="M129"/>
    </row>
    <row r="130" spans="1:13" x14ac:dyDescent="0.3">
      <c r="A130"/>
      <c r="B130"/>
      <c r="C130"/>
      <c r="D130"/>
      <c r="E130"/>
      <c r="F130"/>
      <c r="G130"/>
      <c r="H130"/>
      <c r="I130"/>
      <c r="J130"/>
      <c r="K130"/>
      <c r="L130"/>
      <c r="M130"/>
    </row>
    <row r="131" spans="1:13" x14ac:dyDescent="0.3">
      <c r="A131"/>
      <c r="B131"/>
      <c r="C131"/>
      <c r="D131"/>
      <c r="E131"/>
      <c r="F131"/>
      <c r="G131"/>
      <c r="H131"/>
      <c r="I131"/>
      <c r="J131"/>
      <c r="K131"/>
      <c r="L131"/>
      <c r="M131"/>
    </row>
    <row r="132" spans="1:13" x14ac:dyDescent="0.3">
      <c r="A132"/>
      <c r="B132"/>
      <c r="C132"/>
      <c r="D132"/>
      <c r="E132"/>
      <c r="F132"/>
      <c r="G132"/>
      <c r="H132"/>
      <c r="I132"/>
      <c r="J132"/>
      <c r="K132"/>
      <c r="L132"/>
      <c r="M132"/>
    </row>
    <row r="133" spans="1:13" x14ac:dyDescent="0.3">
      <c r="A133"/>
      <c r="B133"/>
      <c r="C133"/>
      <c r="D133"/>
      <c r="E133"/>
      <c r="F133"/>
      <c r="G133"/>
      <c r="H133"/>
      <c r="I133"/>
      <c r="J133"/>
      <c r="K133"/>
      <c r="L133"/>
      <c r="M133"/>
    </row>
    <row r="134" spans="1:13" x14ac:dyDescent="0.3">
      <c r="A134"/>
      <c r="B134"/>
      <c r="C134"/>
      <c r="D134"/>
      <c r="E134"/>
      <c r="F134"/>
      <c r="G134"/>
      <c r="H134"/>
      <c r="I134"/>
      <c r="J134"/>
      <c r="K134"/>
      <c r="L134"/>
      <c r="M134"/>
    </row>
    <row r="135" spans="1:13" x14ac:dyDescent="0.3">
      <c r="A135"/>
      <c r="B135"/>
      <c r="C135"/>
      <c r="D135"/>
      <c r="E135"/>
      <c r="F135"/>
      <c r="G135"/>
      <c r="H135"/>
      <c r="I135"/>
      <c r="J135"/>
      <c r="K135"/>
      <c r="L135"/>
      <c r="M135"/>
    </row>
  </sheetData>
  <sheetProtection algorithmName="SHA-512" hashValue="congZ72wPc8mV4bzKBH0Z6NlbW8MZ3at0TvamjIWt8aFQQdSIdmVbUQwD9bgwy/I6VSJeUE0huZpwNEf39HBnA==" saltValue="bYBlW5+bkJ8cX13gwhy66A==" spinCount="100000" sheet="1" objects="1" scenarios="1"/>
  <mergeCells count="22">
    <mergeCell ref="B1:I1"/>
    <mergeCell ref="A54:F54"/>
    <mergeCell ref="E34:I34"/>
    <mergeCell ref="E46:I46"/>
    <mergeCell ref="E31:I31"/>
    <mergeCell ref="E39:I43"/>
    <mergeCell ref="E49:I49"/>
    <mergeCell ref="D5:I11"/>
    <mergeCell ref="E17:I21"/>
    <mergeCell ref="E27:I27"/>
    <mergeCell ref="A14:D14"/>
    <mergeCell ref="D17:D21"/>
    <mergeCell ref="A78:F79"/>
    <mergeCell ref="A80:I82"/>
    <mergeCell ref="E57:I62"/>
    <mergeCell ref="E66:I67"/>
    <mergeCell ref="E70:I71"/>
    <mergeCell ref="D57:D62"/>
    <mergeCell ref="D66:D67"/>
    <mergeCell ref="D70:D71"/>
    <mergeCell ref="D75:D76"/>
    <mergeCell ref="E75:I76"/>
  </mergeCells>
  <hyperlinks>
    <hyperlink ref="B1:I1" r:id="rId1" display="Past reported data and emission reduction strategies published in Reducing Greenhouse Gas Emissions in Washington State Government" xr:uid="{77B2E65D-7AF6-4E3B-8A65-32F48E509F54}"/>
  </hyperlinks>
  <pageMargins left="0.7" right="0.7" top="0.75" bottom="0.75" header="0.3" footer="0.3"/>
  <pageSetup orientation="landscape"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5" tint="0.59999389629810485"/>
  </sheetPr>
  <dimension ref="A1:N156"/>
  <sheetViews>
    <sheetView workbookViewId="0">
      <selection activeCell="D8" sqref="D8"/>
    </sheetView>
  </sheetViews>
  <sheetFormatPr defaultColWidth="19.88671875" defaultRowHeight="15.6" x14ac:dyDescent="0.3"/>
  <cols>
    <col min="1" max="1" width="36.109375" style="140" customWidth="1"/>
    <col min="2" max="2" width="26.33203125" style="140" customWidth="1"/>
    <col min="3" max="5" width="19.88671875" style="140"/>
    <col min="6" max="6" width="22.88671875" style="140" customWidth="1"/>
    <col min="7" max="7" width="23.21875" style="140" customWidth="1"/>
    <col min="8" max="16384" width="19.88671875" style="140"/>
  </cols>
  <sheetData>
    <row r="1" spans="1:8" ht="23.4" x14ac:dyDescent="0.45">
      <c r="A1" s="137" t="s">
        <v>32</v>
      </c>
      <c r="B1" s="138" t="s">
        <v>2</v>
      </c>
      <c r="C1" s="139"/>
      <c r="D1" s="139"/>
      <c r="E1" s="139"/>
      <c r="F1" s="139"/>
      <c r="G1" s="139"/>
      <c r="H1" s="139"/>
    </row>
    <row r="2" spans="1:8" x14ac:dyDescent="0.3">
      <c r="D2" s="79"/>
    </row>
    <row r="3" spans="1:8" x14ac:dyDescent="0.3">
      <c r="A3" s="141" t="s">
        <v>33</v>
      </c>
      <c r="B3" s="141" t="s">
        <v>2</v>
      </c>
      <c r="D3" s="79"/>
      <c r="E3" s="79"/>
    </row>
    <row r="4" spans="1:8" x14ac:dyDescent="0.3">
      <c r="A4" s="140">
        <v>1000</v>
      </c>
      <c r="B4" s="140" t="s">
        <v>34</v>
      </c>
      <c r="D4" s="142"/>
      <c r="E4" s="79"/>
      <c r="F4" s="79"/>
    </row>
    <row r="5" spans="1:8" x14ac:dyDescent="0.3">
      <c r="A5" s="140">
        <v>0.1</v>
      </c>
      <c r="B5" s="140" t="s">
        <v>240</v>
      </c>
      <c r="C5" s="140" t="s">
        <v>2</v>
      </c>
      <c r="D5" s="142"/>
      <c r="E5" s="79"/>
    </row>
    <row r="6" spans="1:8" x14ac:dyDescent="0.3">
      <c r="A6" s="140">
        <v>2.2046199999999998</v>
      </c>
      <c r="B6" s="140" t="s">
        <v>35</v>
      </c>
      <c r="D6" s="143"/>
      <c r="E6" s="143"/>
    </row>
    <row r="7" spans="1:8" x14ac:dyDescent="0.3">
      <c r="A7" s="140">
        <v>42</v>
      </c>
      <c r="B7" s="140" t="s">
        <v>36</v>
      </c>
    </row>
    <row r="8" spans="1:8" x14ac:dyDescent="0.3">
      <c r="A8" s="140">
        <v>1000</v>
      </c>
      <c r="B8" s="140" t="s">
        <v>37</v>
      </c>
    </row>
    <row r="9" spans="1:8" x14ac:dyDescent="0.3">
      <c r="A9" s="140">
        <v>3.4119999999999999</v>
      </c>
      <c r="B9" s="140" t="s">
        <v>329</v>
      </c>
    </row>
    <row r="10" spans="1:8" x14ac:dyDescent="0.3">
      <c r="A10" s="140">
        <v>1.194</v>
      </c>
      <c r="B10" s="140" t="s">
        <v>38</v>
      </c>
    </row>
    <row r="11" spans="1:8" x14ac:dyDescent="0.3">
      <c r="A11" s="144"/>
    </row>
    <row r="12" spans="1:8" x14ac:dyDescent="0.3">
      <c r="A12" s="141" t="s">
        <v>39</v>
      </c>
      <c r="B12" s="141" t="s">
        <v>2</v>
      </c>
      <c r="C12" s="141" t="s">
        <v>2</v>
      </c>
      <c r="D12" s="141" t="s">
        <v>2</v>
      </c>
      <c r="E12" s="141" t="s">
        <v>2</v>
      </c>
      <c r="F12" s="141"/>
      <c r="G12" s="141" t="s">
        <v>2</v>
      </c>
      <c r="H12" s="141" t="s">
        <v>2</v>
      </c>
    </row>
    <row r="13" spans="1:8" s="147" customFormat="1" ht="18" x14ac:dyDescent="0.4">
      <c r="A13" s="145" t="s">
        <v>40</v>
      </c>
      <c r="B13" s="146"/>
      <c r="C13" s="146" t="s">
        <v>88</v>
      </c>
      <c r="D13" s="146" t="s">
        <v>88</v>
      </c>
      <c r="E13" s="146" t="s">
        <v>92</v>
      </c>
      <c r="F13" s="146" t="s">
        <v>268</v>
      </c>
      <c r="G13" s="146" t="s">
        <v>270</v>
      </c>
      <c r="H13" s="146" t="s">
        <v>97</v>
      </c>
    </row>
    <row r="14" spans="1:8" s="147" customFormat="1" x14ac:dyDescent="0.3">
      <c r="A14" s="145"/>
      <c r="B14" s="146"/>
      <c r="C14" s="148" t="s">
        <v>266</v>
      </c>
      <c r="D14" s="148" t="s">
        <v>267</v>
      </c>
      <c r="E14" s="148" t="s">
        <v>93</v>
      </c>
      <c r="F14" s="148" t="s">
        <v>269</v>
      </c>
      <c r="G14" s="148" t="s">
        <v>271</v>
      </c>
      <c r="H14" s="148" t="s">
        <v>272</v>
      </c>
    </row>
    <row r="15" spans="1:8" x14ac:dyDescent="0.3">
      <c r="A15" s="149" t="s">
        <v>408</v>
      </c>
      <c r="B15" s="150"/>
      <c r="C15" s="150">
        <v>52.91</v>
      </c>
      <c r="D15" s="151">
        <f>C15*A5/A4</f>
        <v>5.2910000000000006E-3</v>
      </c>
      <c r="E15" s="150">
        <f>1*10^-3</f>
        <v>1E-3</v>
      </c>
      <c r="F15" s="152">
        <f>E15*A5/A4</f>
        <v>1.0000000000000001E-7</v>
      </c>
      <c r="G15" s="150">
        <f>1*10^-4</f>
        <v>1E-4</v>
      </c>
      <c r="H15" s="152">
        <f>G15*A5/A4</f>
        <v>1E-8</v>
      </c>
    </row>
    <row r="16" spans="1:8" x14ac:dyDescent="0.3">
      <c r="A16" s="149"/>
      <c r="B16" s="150"/>
      <c r="C16" s="150"/>
      <c r="D16" s="151"/>
      <c r="E16" s="150"/>
      <c r="F16" s="152"/>
      <c r="G16" s="150"/>
      <c r="H16" s="152"/>
    </row>
    <row r="17" spans="1:14" s="147" customFormat="1" ht="18" x14ac:dyDescent="0.4">
      <c r="A17" s="145" t="s">
        <v>250</v>
      </c>
      <c r="B17" s="146" t="s">
        <v>273</v>
      </c>
      <c r="C17" s="146" t="s">
        <v>88</v>
      </c>
      <c r="D17" s="146" t="s">
        <v>88</v>
      </c>
      <c r="E17" s="146" t="s">
        <v>92</v>
      </c>
      <c r="F17" s="146" t="s">
        <v>92</v>
      </c>
      <c r="G17" s="146" t="s">
        <v>95</v>
      </c>
      <c r="H17" s="146" t="s">
        <v>97</v>
      </c>
    </row>
    <row r="18" spans="1:14" s="147" customFormat="1" x14ac:dyDescent="0.3">
      <c r="A18" s="145"/>
      <c r="B18" s="148" t="s">
        <v>87</v>
      </c>
      <c r="C18" s="148" t="s">
        <v>266</v>
      </c>
      <c r="D18" s="148" t="s">
        <v>91</v>
      </c>
      <c r="E18" s="148" t="s">
        <v>93</v>
      </c>
      <c r="F18" s="148" t="s">
        <v>94</v>
      </c>
      <c r="G18" s="148" t="s">
        <v>96</v>
      </c>
      <c r="H18" s="148" t="s">
        <v>98</v>
      </c>
    </row>
    <row r="19" spans="1:14" x14ac:dyDescent="0.3">
      <c r="A19" s="149" t="s">
        <v>41</v>
      </c>
      <c r="B19" s="153">
        <v>0.13800000000000001</v>
      </c>
      <c r="C19" s="153">
        <v>74.14</v>
      </c>
      <c r="D19" s="154">
        <f>B19*C19/$A$4</f>
        <v>1.023132E-2</v>
      </c>
      <c r="E19" s="153">
        <f>3*10^-3</f>
        <v>3.0000000000000001E-3</v>
      </c>
      <c r="F19" s="152">
        <f>B19*E19/$A$4</f>
        <v>4.1400000000000003E-7</v>
      </c>
      <c r="G19" s="153">
        <f>6*10^-4</f>
        <v>6.0000000000000006E-4</v>
      </c>
      <c r="H19" s="152">
        <f>B19*G19/$A$4</f>
        <v>8.2800000000000027E-8</v>
      </c>
    </row>
    <row r="20" spans="1:14" x14ac:dyDescent="0.3">
      <c r="A20" s="149" t="s">
        <v>20</v>
      </c>
      <c r="B20" s="153">
        <v>9.0999999999999998E-2</v>
      </c>
      <c r="C20" s="153">
        <v>62.88</v>
      </c>
      <c r="D20" s="154">
        <f>B20*C20/$A$4</f>
        <v>5.72208E-3</v>
      </c>
      <c r="E20" s="153">
        <f>3*10^-3</f>
        <v>3.0000000000000001E-3</v>
      </c>
      <c r="F20" s="152">
        <f>B20*E20/$A$4</f>
        <v>2.7300000000000002E-7</v>
      </c>
      <c r="G20" s="153">
        <f>6*10^-4</f>
        <v>6.0000000000000006E-4</v>
      </c>
      <c r="H20" s="152">
        <f>B20*G20/$A$4</f>
        <v>5.4600000000000006E-8</v>
      </c>
    </row>
    <row r="21" spans="1:14" x14ac:dyDescent="0.3">
      <c r="A21" s="149" t="s">
        <v>28</v>
      </c>
      <c r="B21" s="153">
        <v>0.13800000000000001</v>
      </c>
      <c r="C21" s="153">
        <v>74.14</v>
      </c>
      <c r="D21" s="154">
        <f>B21*C21/$A$4</f>
        <v>1.023132E-2</v>
      </c>
      <c r="E21" s="153">
        <f>3*10^-3</f>
        <v>3.0000000000000001E-3</v>
      </c>
      <c r="F21" s="152">
        <f>B21*E21/$A$4</f>
        <v>4.1400000000000003E-7</v>
      </c>
      <c r="G21" s="153">
        <f>6*10^-4</f>
        <v>6.0000000000000006E-4</v>
      </c>
      <c r="H21" s="152">
        <f>B21*G21/$A$4</f>
        <v>8.2800000000000027E-8</v>
      </c>
    </row>
    <row r="22" spans="1:14" x14ac:dyDescent="0.3">
      <c r="A22" s="149" t="s">
        <v>409</v>
      </c>
      <c r="B22" s="153">
        <v>0.125</v>
      </c>
      <c r="C22" s="153">
        <v>70.66</v>
      </c>
      <c r="D22" s="154">
        <f>B22*C22/$A$4</f>
        <v>8.8325000000000001E-3</v>
      </c>
      <c r="E22" s="153">
        <f>3*10^-3</f>
        <v>3.0000000000000001E-3</v>
      </c>
      <c r="F22" s="152">
        <f>B22*E22/$A$4</f>
        <v>3.7500000000000001E-7</v>
      </c>
      <c r="G22" s="153">
        <f>6*10^-4</f>
        <v>6.0000000000000006E-4</v>
      </c>
      <c r="H22" s="152">
        <f>B22*G22/$A$4</f>
        <v>7.500000000000001E-8</v>
      </c>
    </row>
    <row r="23" spans="1:14" x14ac:dyDescent="0.3">
      <c r="A23" s="155" t="s">
        <v>251</v>
      </c>
      <c r="B23" s="153"/>
      <c r="C23" s="153" t="s">
        <v>2</v>
      </c>
      <c r="D23" s="152" t="s">
        <v>2</v>
      </c>
      <c r="E23" s="152" t="s">
        <v>2</v>
      </c>
      <c r="F23" s="153" t="s">
        <v>2</v>
      </c>
      <c r="G23" s="153"/>
      <c r="H23" s="153"/>
    </row>
    <row r="24" spans="1:14" x14ac:dyDescent="0.3">
      <c r="A24" s="33"/>
      <c r="B24" s="153"/>
      <c r="C24" s="153"/>
      <c r="D24" s="153"/>
      <c r="E24" s="153"/>
      <c r="F24" s="153"/>
      <c r="G24" s="153"/>
      <c r="H24" s="153"/>
    </row>
    <row r="25" spans="1:14" ht="18" x14ac:dyDescent="0.4">
      <c r="A25" s="145" t="s">
        <v>29</v>
      </c>
      <c r="B25" s="146"/>
      <c r="C25" s="146" t="s">
        <v>90</v>
      </c>
      <c r="D25" s="146" t="s">
        <v>90</v>
      </c>
      <c r="E25" s="156" t="s">
        <v>92</v>
      </c>
      <c r="F25" s="156" t="s">
        <v>92</v>
      </c>
      <c r="G25" s="156" t="s">
        <v>95</v>
      </c>
      <c r="H25" s="156" t="s">
        <v>97</v>
      </c>
    </row>
    <row r="26" spans="1:14" customFormat="1" ht="15.6" customHeight="1" x14ac:dyDescent="0.3">
      <c r="A26" s="157"/>
      <c r="B26" s="148"/>
      <c r="C26" s="148" t="s">
        <v>99</v>
      </c>
      <c r="D26" s="148" t="s">
        <v>100</v>
      </c>
      <c r="E26" s="148" t="s">
        <v>101</v>
      </c>
      <c r="F26" s="148" t="s">
        <v>102</v>
      </c>
      <c r="G26" s="148" t="s">
        <v>103</v>
      </c>
      <c r="H26" s="148" t="s">
        <v>104</v>
      </c>
      <c r="J26" s="140"/>
      <c r="K26" s="140"/>
      <c r="L26" s="140"/>
      <c r="M26" s="140"/>
      <c r="N26" s="140"/>
    </row>
    <row r="27" spans="1:14" x14ac:dyDescent="0.3">
      <c r="A27" s="140" t="s">
        <v>249</v>
      </c>
      <c r="B27" s="153"/>
      <c r="C27" s="158">
        <v>0.19900404756762227</v>
      </c>
      <c r="D27" s="159">
        <f>Purchased_electricity___WA_Avg_CO2EF/$A$4</f>
        <v>1.9900404756762228E-4</v>
      </c>
      <c r="E27" s="158">
        <f>M39</f>
        <v>2.7517937136409616E-2</v>
      </c>
      <c r="F27" s="152">
        <f>E27/($A$6*$A$4*$A$8)</f>
        <v>1.2481941167371073E-8</v>
      </c>
      <c r="G27" s="160">
        <f>N39</f>
        <v>3.9311338766299456E-3</v>
      </c>
      <c r="H27" s="152">
        <f>G27/($A$6*$A$4*$A$8)</f>
        <v>1.7831344524815822E-9</v>
      </c>
    </row>
    <row r="28" spans="1:14" x14ac:dyDescent="0.3">
      <c r="B28" s="158"/>
      <c r="C28" s="159"/>
      <c r="D28" s="158"/>
      <c r="E28" s="152"/>
      <c r="F28" s="160"/>
      <c r="G28" s="152"/>
      <c r="H28" s="161"/>
    </row>
    <row r="29" spans="1:14" x14ac:dyDescent="0.3">
      <c r="B29" s="158"/>
      <c r="C29" s="159"/>
      <c r="D29" s="158"/>
      <c r="E29" s="152"/>
      <c r="F29" s="160"/>
      <c r="G29" s="152"/>
      <c r="H29" s="161"/>
    </row>
    <row r="30" spans="1:14" s="147" customFormat="1" ht="18" x14ac:dyDescent="0.4">
      <c r="A30" s="145" t="s">
        <v>265</v>
      </c>
      <c r="B30" s="146"/>
      <c r="C30" s="146" t="s">
        <v>90</v>
      </c>
      <c r="D30" s="146" t="s">
        <v>90</v>
      </c>
      <c r="E30" s="156" t="s">
        <v>92</v>
      </c>
      <c r="F30" s="156" t="s">
        <v>92</v>
      </c>
      <c r="G30" s="156" t="s">
        <v>270</v>
      </c>
      <c r="H30" s="156" t="s">
        <v>97</v>
      </c>
      <c r="J30" s="236" t="s">
        <v>252</v>
      </c>
      <c r="K30" s="235"/>
      <c r="L30" s="235"/>
      <c r="M30" s="235"/>
      <c r="N30" s="237"/>
    </row>
    <row r="31" spans="1:14" s="147" customFormat="1" x14ac:dyDescent="0.3">
      <c r="A31" s="145"/>
      <c r="B31" s="146"/>
      <c r="C31" s="148" t="s">
        <v>266</v>
      </c>
      <c r="D31" s="148" t="s">
        <v>274</v>
      </c>
      <c r="E31" s="148" t="s">
        <v>93</v>
      </c>
      <c r="F31" s="148" t="s">
        <v>275</v>
      </c>
      <c r="G31" s="148" t="s">
        <v>271</v>
      </c>
      <c r="H31" s="148" t="s">
        <v>276</v>
      </c>
      <c r="J31" s="76" t="s">
        <v>255</v>
      </c>
      <c r="K31"/>
      <c r="L31"/>
      <c r="M31"/>
      <c r="N31" s="71"/>
    </row>
    <row r="32" spans="1:14" x14ac:dyDescent="0.3">
      <c r="A32" s="140" t="s">
        <v>30</v>
      </c>
      <c r="B32" s="153"/>
      <c r="C32" s="153">
        <v>66.33</v>
      </c>
      <c r="D32" s="153">
        <f>C32*$A$10/$A$4</f>
        <v>7.9198019999999994E-2</v>
      </c>
      <c r="E32" s="153">
        <f>1.25/$A$4</f>
        <v>1.25E-3</v>
      </c>
      <c r="F32" s="153">
        <f>E32*$A$10/$A$4</f>
        <v>1.4924999999999999E-6</v>
      </c>
      <c r="G32" s="153">
        <f>0.125/1000</f>
        <v>1.25E-4</v>
      </c>
      <c r="H32" s="153">
        <f>G32*$A$10/$A$4</f>
        <v>1.4924999999999999E-7</v>
      </c>
      <c r="J32" s="70"/>
      <c r="K32"/>
      <c r="L32"/>
      <c r="M32"/>
      <c r="N32" s="71"/>
    </row>
    <row r="33" spans="1:14" x14ac:dyDescent="0.3">
      <c r="A33" s="162"/>
      <c r="D33" s="140" t="s">
        <v>2</v>
      </c>
      <c r="E33" s="140" t="s">
        <v>2</v>
      </c>
      <c r="F33" s="140" t="s">
        <v>2</v>
      </c>
      <c r="J33" s="70"/>
      <c r="K33"/>
      <c r="L33"/>
      <c r="M33"/>
      <c r="N33" s="71"/>
    </row>
    <row r="34" spans="1:14" ht="34.799999999999997" x14ac:dyDescent="0.4">
      <c r="A34" s="163"/>
      <c r="J34" s="70"/>
      <c r="K34" s="230" t="s">
        <v>92</v>
      </c>
      <c r="L34" s="230" t="s">
        <v>95</v>
      </c>
      <c r="M34" s="230" t="s">
        <v>92</v>
      </c>
      <c r="N34" s="77" t="s">
        <v>95</v>
      </c>
    </row>
    <row r="35" spans="1:14" x14ac:dyDescent="0.3">
      <c r="A35" s="163"/>
      <c r="J35" s="70"/>
      <c r="K35" s="78" t="s">
        <v>253</v>
      </c>
      <c r="L35" s="78" t="s">
        <v>256</v>
      </c>
      <c r="M35" t="s">
        <v>257</v>
      </c>
      <c r="N35" s="71" t="s">
        <v>257</v>
      </c>
    </row>
    <row r="36" spans="1:14" x14ac:dyDescent="0.3">
      <c r="J36" s="70" t="s">
        <v>406</v>
      </c>
      <c r="K36" s="231">
        <v>5.8000000000000003E-2</v>
      </c>
      <c r="L36" s="231">
        <v>8.0000000000000002E-3</v>
      </c>
      <c r="M36" s="232">
        <f t="shared" ref="M36:N37" si="0">K36/2.20462262</f>
        <v>2.6308357482061943E-2</v>
      </c>
      <c r="N36" s="233">
        <f t="shared" si="0"/>
        <v>3.6287389630430267E-3</v>
      </c>
    </row>
    <row r="37" spans="1:14" x14ac:dyDescent="0.3">
      <c r="A37" s="141" t="s">
        <v>42</v>
      </c>
      <c r="B37" s="141" t="s">
        <v>2</v>
      </c>
      <c r="C37" s="141" t="s">
        <v>2</v>
      </c>
      <c r="D37" s="141" t="s">
        <v>2</v>
      </c>
      <c r="E37" s="141" t="s">
        <v>2</v>
      </c>
      <c r="F37" s="141"/>
      <c r="G37" s="141" t="s">
        <v>2</v>
      </c>
      <c r="H37" s="164"/>
      <c r="J37" s="70" t="s">
        <v>405</v>
      </c>
      <c r="K37" s="231">
        <v>5.6000000000000001E-2</v>
      </c>
      <c r="L37" s="231">
        <v>8.0000000000000002E-3</v>
      </c>
      <c r="M37" s="232">
        <f t="shared" si="0"/>
        <v>2.5401172741301187E-2</v>
      </c>
      <c r="N37" s="233">
        <f t="shared" si="0"/>
        <v>3.6287389630430267E-3</v>
      </c>
    </row>
    <row r="38" spans="1:14" s="147" customFormat="1" ht="18" x14ac:dyDescent="0.4">
      <c r="A38" s="145" t="s">
        <v>40</v>
      </c>
      <c r="B38" s="156" t="s">
        <v>86</v>
      </c>
      <c r="C38" s="156" t="s">
        <v>88</v>
      </c>
      <c r="D38" s="146" t="s">
        <v>90</v>
      </c>
      <c r="E38" s="156" t="s">
        <v>92</v>
      </c>
      <c r="F38" s="156" t="s">
        <v>92</v>
      </c>
      <c r="G38" s="156" t="s">
        <v>95</v>
      </c>
      <c r="H38" s="156" t="s">
        <v>97</v>
      </c>
      <c r="J38" s="70" t="s">
        <v>254</v>
      </c>
      <c r="K38" s="232">
        <v>6.8000000000000005E-2</v>
      </c>
      <c r="L38" s="232">
        <v>0.01</v>
      </c>
      <c r="M38" s="232">
        <f>K38/2.20462262</f>
        <v>3.0844281185865727E-2</v>
      </c>
      <c r="N38" s="233">
        <f>L38/2.20462262</f>
        <v>4.5359237038037833E-3</v>
      </c>
    </row>
    <row r="39" spans="1:14" customFormat="1" ht="14.4" x14ac:dyDescent="0.3">
      <c r="A39" s="157"/>
      <c r="B39" s="148" t="s">
        <v>87</v>
      </c>
      <c r="C39" s="148" t="s">
        <v>89</v>
      </c>
      <c r="D39" s="148" t="s">
        <v>91</v>
      </c>
      <c r="E39" s="148" t="s">
        <v>93</v>
      </c>
      <c r="F39" s="148" t="s">
        <v>94</v>
      </c>
      <c r="G39" s="148" t="s">
        <v>96</v>
      </c>
      <c r="H39" s="148" t="s">
        <v>98</v>
      </c>
      <c r="J39" s="72" t="s">
        <v>407</v>
      </c>
      <c r="K39" s="238">
        <f>AVERAGE(K36:K38)</f>
        <v>6.0666666666666667E-2</v>
      </c>
      <c r="L39" s="238">
        <f t="shared" ref="L39:N39" si="1">AVERAGE(L36:L38)</f>
        <v>8.666666666666668E-3</v>
      </c>
      <c r="M39" s="238">
        <f t="shared" si="1"/>
        <v>2.7517937136409616E-2</v>
      </c>
      <c r="N39" s="238">
        <f t="shared" si="1"/>
        <v>3.9311338766299456E-3</v>
      </c>
    </row>
    <row r="40" spans="1:14" x14ac:dyDescent="0.3">
      <c r="A40" s="140" t="s">
        <v>16</v>
      </c>
      <c r="B40" s="153">
        <v>0.125</v>
      </c>
      <c r="C40" s="154">
        <v>0.37630000000000002</v>
      </c>
      <c r="D40" s="160">
        <f>C40/$A$7</f>
        <v>8.9595238095238096E-3</v>
      </c>
      <c r="E40" s="154">
        <f>3*10^-3</f>
        <v>3.0000000000000001E-3</v>
      </c>
      <c r="F40" s="152">
        <f t="shared" ref="F40:F46" si="2">B40*E40/$A$4</f>
        <v>3.7500000000000001E-7</v>
      </c>
      <c r="G40" s="160">
        <f>6*10^-4</f>
        <v>6.0000000000000006E-4</v>
      </c>
      <c r="H40" s="152">
        <f t="shared" ref="H40:H46" si="3">G40*B40/$A$4</f>
        <v>7.500000000000001E-8</v>
      </c>
      <c r="J40" s="73"/>
      <c r="K40" s="74"/>
      <c r="L40" s="74"/>
      <c r="M40" s="74"/>
      <c r="N40" s="75"/>
    </row>
    <row r="41" spans="1:14" x14ac:dyDescent="0.3">
      <c r="A41" s="140" t="s">
        <v>43</v>
      </c>
      <c r="B41" s="153">
        <v>8.4000000000000005E-2</v>
      </c>
      <c r="C41" s="154">
        <v>0.2422</v>
      </c>
      <c r="D41" s="160">
        <f t="shared" ref="D41:D46" si="4">C41/$A$7</f>
        <v>5.7666666666666665E-3</v>
      </c>
      <c r="E41" s="154">
        <f>1.1*10^-3</f>
        <v>1.1000000000000001E-3</v>
      </c>
      <c r="F41" s="152">
        <f t="shared" si="2"/>
        <v>9.2400000000000007E-8</v>
      </c>
      <c r="G41" s="160">
        <f>1.1*10^-4</f>
        <v>1.1000000000000002E-4</v>
      </c>
      <c r="H41" s="152">
        <f t="shared" si="3"/>
        <v>9.240000000000002E-9</v>
      </c>
    </row>
    <row r="42" spans="1:14" x14ac:dyDescent="0.3">
      <c r="A42" s="140" t="s">
        <v>44</v>
      </c>
      <c r="B42" s="153">
        <v>0.13800000000000001</v>
      </c>
      <c r="C42" s="154">
        <v>0.42959999999999998</v>
      </c>
      <c r="D42" s="160">
        <f t="shared" si="4"/>
        <v>1.0228571428571429E-2</v>
      </c>
      <c r="E42" s="154">
        <f>3*10^-3</f>
        <v>3.0000000000000001E-3</v>
      </c>
      <c r="F42" s="152">
        <f t="shared" si="2"/>
        <v>4.1400000000000003E-7</v>
      </c>
      <c r="G42" s="160">
        <f>6*10^-4</f>
        <v>6.0000000000000006E-4</v>
      </c>
      <c r="H42" s="152">
        <f t="shared" si="3"/>
        <v>8.2800000000000027E-8</v>
      </c>
    </row>
    <row r="43" spans="1:14" x14ac:dyDescent="0.3">
      <c r="A43" s="140" t="s">
        <v>45</v>
      </c>
      <c r="B43" s="153">
        <v>0.128</v>
      </c>
      <c r="C43" s="154">
        <v>0.3957</v>
      </c>
      <c r="D43" s="160">
        <f t="shared" si="4"/>
        <v>9.4214285714285719E-3</v>
      </c>
      <c r="E43" s="154">
        <f>1.1*10^-3</f>
        <v>1.1000000000000001E-3</v>
      </c>
      <c r="F43" s="152">
        <f t="shared" si="2"/>
        <v>1.4080000000000002E-7</v>
      </c>
      <c r="G43" s="160">
        <f>1.1*10^-4</f>
        <v>1.1000000000000002E-4</v>
      </c>
      <c r="H43" s="152">
        <f t="shared" si="3"/>
        <v>1.4080000000000003E-8</v>
      </c>
    </row>
    <row r="44" spans="1:14" x14ac:dyDescent="0.3">
      <c r="A44" s="140" t="s">
        <v>20</v>
      </c>
      <c r="B44" s="153">
        <v>9.0999999999999998E-2</v>
      </c>
      <c r="C44" s="154">
        <v>0.24099999999999999</v>
      </c>
      <c r="D44" s="160">
        <f t="shared" si="4"/>
        <v>5.7380952380952383E-3</v>
      </c>
      <c r="E44" s="154">
        <f>3*10^-3</f>
        <v>3.0000000000000001E-3</v>
      </c>
      <c r="F44" s="152">
        <f t="shared" si="2"/>
        <v>2.7300000000000002E-7</v>
      </c>
      <c r="G44" s="160">
        <f>6*10^-4</f>
        <v>6.0000000000000006E-4</v>
      </c>
      <c r="H44" s="152">
        <f t="shared" si="3"/>
        <v>5.4600000000000006E-8</v>
      </c>
    </row>
    <row r="45" spans="1:14" x14ac:dyDescent="0.3">
      <c r="A45" s="140" t="s">
        <v>25</v>
      </c>
      <c r="B45" s="153">
        <v>0.125</v>
      </c>
      <c r="C45" s="154">
        <v>0.34899999999999998</v>
      </c>
      <c r="D45" s="160">
        <f t="shared" si="4"/>
        <v>8.3095238095238083E-3</v>
      </c>
      <c r="E45" s="154">
        <f>3*10^-3</f>
        <v>3.0000000000000001E-3</v>
      </c>
      <c r="F45" s="152">
        <f t="shared" si="2"/>
        <v>3.7500000000000001E-7</v>
      </c>
      <c r="G45" s="160">
        <f>6*10^-4</f>
        <v>6.0000000000000006E-4</v>
      </c>
      <c r="H45" s="152">
        <f t="shared" si="3"/>
        <v>7.500000000000001E-8</v>
      </c>
    </row>
    <row r="46" spans="1:14" x14ac:dyDescent="0.3">
      <c r="A46" s="140" t="s">
        <v>26</v>
      </c>
      <c r="B46" s="153">
        <v>0.13500000000000001</v>
      </c>
      <c r="C46" s="154">
        <v>0.40949999999999998</v>
      </c>
      <c r="D46" s="160">
        <f t="shared" si="4"/>
        <v>9.75E-3</v>
      </c>
      <c r="E46" s="154">
        <f>3*10^-3</f>
        <v>3.0000000000000001E-3</v>
      </c>
      <c r="F46" s="152">
        <f t="shared" si="2"/>
        <v>4.0500000000000004E-7</v>
      </c>
      <c r="G46" s="160">
        <f>6*10^-4</f>
        <v>6.0000000000000006E-4</v>
      </c>
      <c r="H46" s="152">
        <f t="shared" si="3"/>
        <v>8.1000000000000024E-8</v>
      </c>
    </row>
    <row r="47" spans="1:14" x14ac:dyDescent="0.3">
      <c r="A47" s="163" t="s">
        <v>46</v>
      </c>
      <c r="B47" s="140" t="s">
        <v>2</v>
      </c>
    </row>
    <row r="48" spans="1:14" x14ac:dyDescent="0.3">
      <c r="E48" s="5" t="s">
        <v>2</v>
      </c>
      <c r="F48" s="6" t="s">
        <v>2</v>
      </c>
    </row>
    <row r="49" spans="1:9" x14ac:dyDescent="0.3">
      <c r="A49" s="281" t="s">
        <v>47</v>
      </c>
      <c r="B49" s="281"/>
    </row>
    <row r="50" spans="1:9" ht="18" x14ac:dyDescent="0.4">
      <c r="A50" s="140" t="s">
        <v>70</v>
      </c>
      <c r="B50" s="140">
        <v>1</v>
      </c>
    </row>
    <row r="51" spans="1:9" ht="18" x14ac:dyDescent="0.4">
      <c r="A51" s="140" t="s">
        <v>71</v>
      </c>
      <c r="B51" s="140">
        <v>25</v>
      </c>
    </row>
    <row r="52" spans="1:9" ht="18" x14ac:dyDescent="0.4">
      <c r="A52" s="140" t="s">
        <v>72</v>
      </c>
      <c r="B52" s="140">
        <v>298</v>
      </c>
    </row>
    <row r="53" spans="1:9" x14ac:dyDescent="0.3">
      <c r="A53" s="163" t="s">
        <v>48</v>
      </c>
      <c r="E53"/>
      <c r="F53"/>
      <c r="G53"/>
      <c r="H53"/>
      <c r="I53"/>
    </row>
    <row r="54" spans="1:9" x14ac:dyDescent="0.3">
      <c r="A54" s="163"/>
      <c r="E54"/>
      <c r="F54"/>
      <c r="G54"/>
      <c r="H54"/>
      <c r="I54"/>
    </row>
    <row r="55" spans="1:9" x14ac:dyDescent="0.3">
      <c r="A55" s="165" t="s">
        <v>351</v>
      </c>
      <c r="B55" s="165"/>
      <c r="C55" s="18"/>
      <c r="E55"/>
      <c r="F55"/>
      <c r="G55"/>
      <c r="H55"/>
      <c r="I55"/>
    </row>
    <row r="56" spans="1:9" ht="31.2" x14ac:dyDescent="0.3">
      <c r="A56" s="147" t="s">
        <v>460</v>
      </c>
      <c r="B56" s="87">
        <v>4.49</v>
      </c>
      <c r="C56" s="140" t="s">
        <v>343</v>
      </c>
      <c r="D56" s="271" t="s">
        <v>459</v>
      </c>
      <c r="E56"/>
      <c r="F56"/>
      <c r="G56"/>
      <c r="H56"/>
      <c r="I56"/>
    </row>
    <row r="57" spans="1:9" ht="31.2" x14ac:dyDescent="0.3">
      <c r="A57" s="166" t="s">
        <v>458</v>
      </c>
      <c r="B57" s="140">
        <v>0.84</v>
      </c>
      <c r="C57" s="140" t="s">
        <v>344</v>
      </c>
      <c r="D57" s="271" t="s">
        <v>457</v>
      </c>
      <c r="E57"/>
      <c r="F57"/>
      <c r="G57"/>
      <c r="H57"/>
      <c r="I57"/>
    </row>
    <row r="58" spans="1:9" x14ac:dyDescent="0.3">
      <c r="E58"/>
      <c r="F58"/>
      <c r="G58"/>
      <c r="H58"/>
      <c r="I58"/>
    </row>
    <row r="59" spans="1:9" x14ac:dyDescent="0.3">
      <c r="D59" s="166"/>
      <c r="E59"/>
      <c r="F59"/>
      <c r="G59"/>
      <c r="H59"/>
      <c r="I59"/>
    </row>
    <row r="60" spans="1:9" x14ac:dyDescent="0.3">
      <c r="A60" s="167"/>
      <c r="E60"/>
      <c r="F60"/>
      <c r="G60"/>
      <c r="H60"/>
      <c r="I60"/>
    </row>
    <row r="61" spans="1:9" x14ac:dyDescent="0.3">
      <c r="A61" s="168" t="s">
        <v>85</v>
      </c>
      <c r="B61" s="168" t="s">
        <v>49</v>
      </c>
      <c r="C61" s="168" t="s">
        <v>158</v>
      </c>
      <c r="E61"/>
      <c r="F61"/>
      <c r="G61"/>
      <c r="H61"/>
      <c r="I61"/>
    </row>
    <row r="62" spans="1:9" x14ac:dyDescent="0.3">
      <c r="A62" s="169">
        <v>3750</v>
      </c>
      <c r="B62" s="149" t="s">
        <v>110</v>
      </c>
      <c r="C62" s="170" t="s">
        <v>157</v>
      </c>
      <c r="E62" s="166"/>
    </row>
    <row r="63" spans="1:9" x14ac:dyDescent="0.3">
      <c r="A63" s="169">
        <v>4950</v>
      </c>
      <c r="B63" s="149" t="s">
        <v>111</v>
      </c>
      <c r="C63" s="170" t="s">
        <v>135</v>
      </c>
      <c r="E63" s="166"/>
    </row>
    <row r="64" spans="1:9" x14ac:dyDescent="0.3">
      <c r="A64" s="169">
        <v>1030</v>
      </c>
      <c r="B64" s="149" t="s">
        <v>112</v>
      </c>
      <c r="C64" s="170" t="s">
        <v>136</v>
      </c>
      <c r="E64" s="166"/>
    </row>
    <row r="65" spans="1:5" x14ac:dyDescent="0.3">
      <c r="A65" s="169">
        <v>3100</v>
      </c>
      <c r="B65" s="149" t="s">
        <v>113</v>
      </c>
      <c r="C65" s="170" t="s">
        <v>137</v>
      </c>
      <c r="E65" s="166"/>
    </row>
    <row r="66" spans="1:5" x14ac:dyDescent="0.3">
      <c r="A66" s="169">
        <v>4610</v>
      </c>
      <c r="B66" s="149" t="s">
        <v>114</v>
      </c>
      <c r="C66" s="170" t="s">
        <v>138</v>
      </c>
      <c r="E66" s="166"/>
    </row>
    <row r="67" spans="1:5" x14ac:dyDescent="0.3">
      <c r="A67" s="169">
        <v>1790</v>
      </c>
      <c r="B67" s="149" t="s">
        <v>115</v>
      </c>
      <c r="C67" s="170" t="s">
        <v>139</v>
      </c>
      <c r="E67" s="166"/>
    </row>
    <row r="68" spans="1:5" x14ac:dyDescent="0.3">
      <c r="A68" s="169">
        <v>4770</v>
      </c>
      <c r="B68" s="149" t="s">
        <v>116</v>
      </c>
      <c r="C68" s="170" t="s">
        <v>140</v>
      </c>
      <c r="E68" s="166"/>
    </row>
    <row r="69" spans="1:5" x14ac:dyDescent="0.3">
      <c r="A69" s="169">
        <v>3030</v>
      </c>
      <c r="B69" s="149" t="s">
        <v>117</v>
      </c>
      <c r="C69" s="170" t="s">
        <v>141</v>
      </c>
      <c r="E69" s="166"/>
    </row>
    <row r="70" spans="1:5" x14ac:dyDescent="0.3">
      <c r="A70" s="169">
        <v>2350</v>
      </c>
      <c r="B70" s="149" t="s">
        <v>118</v>
      </c>
      <c r="C70" s="170" t="s">
        <v>142</v>
      </c>
      <c r="E70" s="166"/>
    </row>
    <row r="71" spans="1:5" x14ac:dyDescent="0.3">
      <c r="A71" s="170"/>
      <c r="B71" s="149" t="s">
        <v>119</v>
      </c>
      <c r="C71" s="170" t="s">
        <v>143</v>
      </c>
      <c r="E71" s="166"/>
    </row>
    <row r="72" spans="1:5" x14ac:dyDescent="0.3">
      <c r="A72" s="169">
        <v>4900</v>
      </c>
      <c r="B72" s="149" t="s">
        <v>120</v>
      </c>
      <c r="C72" s="170" t="s">
        <v>144</v>
      </c>
      <c r="E72" s="166"/>
    </row>
    <row r="73" spans="1:5" x14ac:dyDescent="0.3">
      <c r="A73" s="169">
        <v>3000</v>
      </c>
      <c r="B73" s="149" t="s">
        <v>121</v>
      </c>
      <c r="C73" s="170" t="s">
        <v>145</v>
      </c>
      <c r="E73" s="166"/>
    </row>
    <row r="74" spans="1:5" x14ac:dyDescent="0.3">
      <c r="A74" s="169">
        <v>4050</v>
      </c>
      <c r="B74" s="149" t="s">
        <v>122</v>
      </c>
      <c r="C74" s="170" t="s">
        <v>146</v>
      </c>
      <c r="E74" s="166"/>
    </row>
    <row r="75" spans="1:5" x14ac:dyDescent="0.3">
      <c r="A75" s="169">
        <v>3050</v>
      </c>
      <c r="B75" s="149" t="s">
        <v>123</v>
      </c>
      <c r="C75" s="170" t="s">
        <v>147</v>
      </c>
      <c r="E75" s="166"/>
    </row>
    <row r="76" spans="1:5" x14ac:dyDescent="0.3">
      <c r="A76" s="169">
        <v>3700</v>
      </c>
      <c r="B76" s="171" t="s">
        <v>124</v>
      </c>
      <c r="C76" s="170" t="s">
        <v>148</v>
      </c>
      <c r="E76" s="166"/>
    </row>
    <row r="77" spans="1:5" x14ac:dyDescent="0.3">
      <c r="A77" s="172" t="s">
        <v>2</v>
      </c>
      <c r="B77" s="149" t="s">
        <v>166</v>
      </c>
      <c r="C77" s="170" t="s">
        <v>167</v>
      </c>
      <c r="E77" s="166"/>
    </row>
    <row r="78" spans="1:5" x14ac:dyDescent="0.3">
      <c r="A78" s="169">
        <v>6520</v>
      </c>
      <c r="B78" s="149" t="s">
        <v>125</v>
      </c>
      <c r="C78" s="170" t="s">
        <v>149</v>
      </c>
      <c r="E78" s="166"/>
    </row>
    <row r="79" spans="1:5" x14ac:dyDescent="0.3">
      <c r="A79" s="169">
        <v>1950</v>
      </c>
      <c r="B79" s="149" t="s">
        <v>126</v>
      </c>
      <c r="C79" s="170" t="s">
        <v>150</v>
      </c>
      <c r="E79" s="166"/>
    </row>
    <row r="80" spans="1:5" x14ac:dyDescent="0.3">
      <c r="B80" s="149" t="s">
        <v>160</v>
      </c>
      <c r="C80" s="170" t="s">
        <v>161</v>
      </c>
      <c r="E80" s="166"/>
    </row>
    <row r="81" spans="1:8" x14ac:dyDescent="0.3">
      <c r="A81" s="170"/>
      <c r="B81" s="149" t="s">
        <v>68</v>
      </c>
      <c r="C81" s="170" t="s">
        <v>168</v>
      </c>
    </row>
    <row r="82" spans="1:8" x14ac:dyDescent="0.3">
      <c r="A82" s="169">
        <v>6700</v>
      </c>
      <c r="B82" s="171" t="s">
        <v>127</v>
      </c>
      <c r="C82" s="170" t="s">
        <v>162</v>
      </c>
    </row>
    <row r="83" spans="1:8" x14ac:dyDescent="0.3">
      <c r="A83" s="169">
        <v>6760</v>
      </c>
      <c r="B83" s="149" t="s">
        <v>128</v>
      </c>
      <c r="C83" s="170" t="s">
        <v>163</v>
      </c>
    </row>
    <row r="84" spans="1:8" x14ac:dyDescent="0.3">
      <c r="A84" s="169">
        <v>4650</v>
      </c>
      <c r="B84" s="149" t="s">
        <v>129</v>
      </c>
      <c r="C84" s="170" t="s">
        <v>151</v>
      </c>
    </row>
    <row r="85" spans="1:8" x14ac:dyDescent="0.3">
      <c r="A85" s="169">
        <v>3760</v>
      </c>
      <c r="B85" s="149" t="s">
        <v>130</v>
      </c>
      <c r="C85" s="170" t="s">
        <v>152</v>
      </c>
    </row>
    <row r="86" spans="1:8" x14ac:dyDescent="0.3">
      <c r="A86" s="169">
        <v>3600</v>
      </c>
      <c r="B86" s="149" t="s">
        <v>131</v>
      </c>
      <c r="C86" s="170" t="s">
        <v>153</v>
      </c>
    </row>
    <row r="87" spans="1:8" x14ac:dyDescent="0.3">
      <c r="A87" s="172" t="s">
        <v>2</v>
      </c>
      <c r="B87" s="149" t="s">
        <v>164</v>
      </c>
      <c r="C87" s="170" t="s">
        <v>165</v>
      </c>
    </row>
    <row r="88" spans="1:8" x14ac:dyDescent="0.3">
      <c r="A88" s="169">
        <v>2250</v>
      </c>
      <c r="B88" s="149" t="s">
        <v>132</v>
      </c>
      <c r="C88" s="170" t="s">
        <v>154</v>
      </c>
    </row>
    <row r="89" spans="1:8" x14ac:dyDescent="0.3">
      <c r="A89" s="169">
        <v>3650</v>
      </c>
      <c r="B89" s="149" t="s">
        <v>133</v>
      </c>
      <c r="C89" s="170" t="s">
        <v>155</v>
      </c>
    </row>
    <row r="90" spans="1:8" x14ac:dyDescent="0.3">
      <c r="A90" s="169">
        <v>3800</v>
      </c>
      <c r="B90" s="149" t="s">
        <v>134</v>
      </c>
      <c r="C90" s="170" t="s">
        <v>156</v>
      </c>
    </row>
    <row r="93" spans="1:8" x14ac:dyDescent="0.3">
      <c r="A93" s="173" t="s">
        <v>2</v>
      </c>
    </row>
    <row r="94" spans="1:8" ht="46.8" x14ac:dyDescent="0.3">
      <c r="A94" s="174" t="s">
        <v>69</v>
      </c>
      <c r="B94" s="175" t="s">
        <v>385</v>
      </c>
      <c r="C94" s="175" t="s">
        <v>386</v>
      </c>
      <c r="E94" s="174" t="s">
        <v>205</v>
      </c>
      <c r="F94" s="175" t="s">
        <v>277</v>
      </c>
      <c r="G94" s="175" t="s">
        <v>208</v>
      </c>
    </row>
    <row r="95" spans="1:8" customFormat="1" ht="31.2" x14ac:dyDescent="0.3">
      <c r="A95" s="1" t="s">
        <v>210</v>
      </c>
      <c r="B95" s="80">
        <v>8.7499999999999994E-2</v>
      </c>
      <c r="C95" s="80">
        <v>9.1399999999999995E-2</v>
      </c>
      <c r="D95" s="140"/>
      <c r="E95" s="176" t="s">
        <v>387</v>
      </c>
      <c r="F95" s="34">
        <v>9.42</v>
      </c>
      <c r="G95" s="38">
        <f>F95/10.37</f>
        <v>0.90838958534233372</v>
      </c>
      <c r="H95" s="30" t="s">
        <v>283</v>
      </c>
    </row>
    <row r="96" spans="1:8" x14ac:dyDescent="0.3">
      <c r="A96" s="140" t="s">
        <v>169</v>
      </c>
      <c r="B96" s="177">
        <v>0.11169999999999999</v>
      </c>
      <c r="C96" s="177">
        <v>9.9100000000000008E-2</v>
      </c>
    </row>
    <row r="97" spans="1:8" x14ac:dyDescent="0.3">
      <c r="A97" s="140" t="s">
        <v>170</v>
      </c>
      <c r="B97" s="177">
        <v>6.6299999999999998E-2</v>
      </c>
      <c r="C97" s="177">
        <v>7.1800000000000003E-2</v>
      </c>
    </row>
    <row r="98" spans="1:8" x14ac:dyDescent="0.3">
      <c r="A98" s="140" t="s">
        <v>171</v>
      </c>
      <c r="B98" s="177">
        <v>7.9299999999999995E-2</v>
      </c>
      <c r="C98" s="177">
        <v>6.8600000000000008E-2</v>
      </c>
    </row>
    <row r="99" spans="1:8" x14ac:dyDescent="0.3">
      <c r="A99" s="140" t="s">
        <v>172</v>
      </c>
      <c r="B99" s="177">
        <v>4.3299999999999998E-2</v>
      </c>
      <c r="C99" s="177">
        <v>3.7200000000000004E-2</v>
      </c>
    </row>
    <row r="100" spans="1:8" x14ac:dyDescent="0.3">
      <c r="A100" s="140" t="s">
        <v>388</v>
      </c>
      <c r="B100" s="177">
        <v>0.11349999999999999</v>
      </c>
      <c r="C100" s="177">
        <v>9.9299999999999999E-2</v>
      </c>
      <c r="E100" s="174" t="s">
        <v>278</v>
      </c>
      <c r="F100" s="175" t="s">
        <v>206</v>
      </c>
      <c r="G100" s="175" t="s">
        <v>389</v>
      </c>
      <c r="H100" s="30" t="s">
        <v>285</v>
      </c>
    </row>
    <row r="101" spans="1:8" x14ac:dyDescent="0.3">
      <c r="A101" s="140" t="s">
        <v>390</v>
      </c>
      <c r="B101" s="177">
        <v>7.4400000000000008E-2</v>
      </c>
      <c r="C101" s="177">
        <v>8.8000000000000009E-2</v>
      </c>
    </row>
    <row r="102" spans="1:8" x14ac:dyDescent="0.3">
      <c r="A102" s="140" t="s">
        <v>391</v>
      </c>
      <c r="B102" s="177">
        <v>7.9100000000000004E-2</v>
      </c>
      <c r="C102" s="177">
        <v>6.6600000000000006E-2</v>
      </c>
      <c r="E102" s="178" t="s">
        <v>279</v>
      </c>
      <c r="F102" s="35">
        <v>3.9609999999999999</v>
      </c>
      <c r="G102" s="140" t="s">
        <v>392</v>
      </c>
      <c r="H102" s="30" t="s">
        <v>284</v>
      </c>
    </row>
    <row r="103" spans="1:8" x14ac:dyDescent="0.3">
      <c r="A103" s="140" t="s">
        <v>393</v>
      </c>
      <c r="B103" s="177">
        <v>6.7900000000000002E-2</v>
      </c>
      <c r="C103" s="177">
        <v>7.8399999999999997E-2</v>
      </c>
      <c r="E103" s="178" t="s">
        <v>22</v>
      </c>
      <c r="F103" s="35">
        <v>4.9829999999999997</v>
      </c>
      <c r="G103" s="140" t="s">
        <v>392</v>
      </c>
      <c r="H103" s="30" t="s">
        <v>284</v>
      </c>
    </row>
    <row r="104" spans="1:8" x14ac:dyDescent="0.3">
      <c r="A104" s="140" t="s">
        <v>394</v>
      </c>
      <c r="B104" s="177">
        <v>0.10279999999999999</v>
      </c>
      <c r="C104" s="177">
        <v>0.10679999999999999</v>
      </c>
      <c r="E104" s="179" t="s">
        <v>280</v>
      </c>
      <c r="F104" s="35">
        <v>3.7410000000000001</v>
      </c>
      <c r="G104" s="140" t="s">
        <v>395</v>
      </c>
      <c r="H104" s="30" t="s">
        <v>285</v>
      </c>
    </row>
    <row r="105" spans="1:8" x14ac:dyDescent="0.3">
      <c r="A105" s="140" t="s">
        <v>396</v>
      </c>
      <c r="B105" s="177">
        <v>9.5100000000000004E-2</v>
      </c>
      <c r="C105" s="177">
        <v>8.199999999999999E-2</v>
      </c>
      <c r="E105" s="179" t="s">
        <v>281</v>
      </c>
      <c r="F105" s="35">
        <v>4.5449999999999999</v>
      </c>
      <c r="G105" s="140" t="s">
        <v>397</v>
      </c>
      <c r="H105" s="30" t="s">
        <v>286</v>
      </c>
    </row>
    <row r="106" spans="1:8" x14ac:dyDescent="0.3">
      <c r="A106" s="140" t="s">
        <v>173</v>
      </c>
      <c r="B106" s="177">
        <v>9.6600000000000005E-2</v>
      </c>
      <c r="C106" s="177">
        <v>8.7400000000000005E-2</v>
      </c>
      <c r="E106" s="179" t="s">
        <v>282</v>
      </c>
      <c r="F106" s="35">
        <v>3.2850000000000001</v>
      </c>
      <c r="G106" s="140" t="s">
        <v>398</v>
      </c>
      <c r="H106" s="30" t="s">
        <v>287</v>
      </c>
    </row>
    <row r="107" spans="1:8" x14ac:dyDescent="0.3">
      <c r="A107" s="140" t="s">
        <v>174</v>
      </c>
      <c r="B107" s="177">
        <v>6.6199999999999995E-2</v>
      </c>
      <c r="C107" s="177">
        <v>6.8000000000000005E-2</v>
      </c>
      <c r="E107" s="179" t="s">
        <v>20</v>
      </c>
      <c r="F107" s="35">
        <v>2.6960000000000002</v>
      </c>
      <c r="G107" s="140" t="s">
        <v>399</v>
      </c>
      <c r="H107" s="30" t="s">
        <v>286</v>
      </c>
    </row>
    <row r="108" spans="1:8" x14ac:dyDescent="0.3">
      <c r="A108" s="140" t="s">
        <v>175</v>
      </c>
      <c r="B108" s="177">
        <v>6.0599999999999994E-2</v>
      </c>
      <c r="C108" s="177">
        <v>6.3899999999999998E-2</v>
      </c>
    </row>
    <row r="109" spans="1:8" x14ac:dyDescent="0.3">
      <c r="A109" s="140" t="s">
        <v>176</v>
      </c>
      <c r="B109" s="177">
        <v>8.1500000000000003E-2</v>
      </c>
      <c r="C109" s="177">
        <v>8.7300000000000003E-2</v>
      </c>
    </row>
    <row r="110" spans="1:8" x14ac:dyDescent="0.3">
      <c r="A110" s="140" t="s">
        <v>177</v>
      </c>
      <c r="B110" s="177">
        <v>9.3800000000000008E-2</v>
      </c>
      <c r="C110" s="177">
        <v>9.3299999999999994E-2</v>
      </c>
    </row>
    <row r="111" spans="1:8" x14ac:dyDescent="0.3">
      <c r="A111" s="140" t="s">
        <v>178</v>
      </c>
      <c r="B111" s="177">
        <v>6.59E-2</v>
      </c>
      <c r="C111" s="177">
        <v>6.6600000000000006E-2</v>
      </c>
    </row>
    <row r="112" spans="1:8" x14ac:dyDescent="0.3">
      <c r="A112" s="140" t="s">
        <v>179</v>
      </c>
      <c r="B112" s="177">
        <v>0</v>
      </c>
      <c r="C112" s="177">
        <v>0.12820000000000001</v>
      </c>
    </row>
    <row r="113" spans="1:3" x14ac:dyDescent="0.3">
      <c r="A113" s="140" t="s">
        <v>180</v>
      </c>
      <c r="B113" s="177">
        <v>0.13650000000000001</v>
      </c>
      <c r="C113" s="177">
        <v>0.1457</v>
      </c>
    </row>
    <row r="114" spans="1:3" x14ac:dyDescent="0.3">
      <c r="A114" s="140" t="s">
        <v>198</v>
      </c>
      <c r="B114" s="177">
        <v>8.3800000000000013E-2</v>
      </c>
      <c r="C114" s="177">
        <v>8.0799999999999997E-2</v>
      </c>
    </row>
    <row r="115" spans="1:3" x14ac:dyDescent="0.3">
      <c r="A115" s="140" t="s">
        <v>199</v>
      </c>
      <c r="B115" s="177">
        <v>8.0700000000000008E-2</v>
      </c>
      <c r="C115" s="177">
        <v>0.10050000000000001</v>
      </c>
    </row>
    <row r="116" spans="1:3" x14ac:dyDescent="0.3">
      <c r="A116" s="140" t="s">
        <v>181</v>
      </c>
      <c r="B116" s="177">
        <v>8.8599999999999998E-2</v>
      </c>
      <c r="C116" s="177">
        <v>9.4600000000000004E-2</v>
      </c>
    </row>
    <row r="117" spans="1:3" x14ac:dyDescent="0.3">
      <c r="A117" s="140" t="s">
        <v>182</v>
      </c>
      <c r="B117" s="177">
        <v>7.0499999999999993E-2</v>
      </c>
      <c r="C117" s="177">
        <v>7.2400000000000006E-2</v>
      </c>
    </row>
    <row r="118" spans="1:3" x14ac:dyDescent="0.3">
      <c r="A118" s="140" t="s">
        <v>183</v>
      </c>
      <c r="B118" s="177">
        <v>3.6799999999999999E-2</v>
      </c>
      <c r="C118" s="177">
        <v>3.3000000000000002E-2</v>
      </c>
    </row>
    <row r="119" spans="1:3" x14ac:dyDescent="0.3">
      <c r="A119" s="140" t="s">
        <v>184</v>
      </c>
      <c r="B119" s="177">
        <v>9.2499999999999999E-2</v>
      </c>
      <c r="C119" s="177">
        <v>0.10529999999999999</v>
      </c>
    </row>
    <row r="120" spans="1:3" x14ac:dyDescent="0.3">
      <c r="A120" s="140" t="s">
        <v>400</v>
      </c>
      <c r="B120" s="177">
        <v>7.5199999999999989E-2</v>
      </c>
      <c r="C120" s="177">
        <v>8.1500000000000003E-2</v>
      </c>
    </row>
    <row r="121" spans="1:3" x14ac:dyDescent="0.3">
      <c r="A121" s="140" t="s">
        <v>185</v>
      </c>
      <c r="B121" s="177">
        <v>8.6999999999999994E-2</v>
      </c>
      <c r="C121" s="177">
        <v>5.79E-2</v>
      </c>
    </row>
    <row r="122" spans="1:3" x14ac:dyDescent="0.3">
      <c r="A122" s="140" t="s">
        <v>186</v>
      </c>
      <c r="B122" s="177">
        <v>2.8900000000000002E-2</v>
      </c>
      <c r="C122" s="177">
        <v>3.1899999999999998E-2</v>
      </c>
    </row>
    <row r="123" spans="1:3" x14ac:dyDescent="0.3">
      <c r="A123" s="140" t="s">
        <v>187</v>
      </c>
      <c r="B123" s="177">
        <v>7.2000000000000008E-2</v>
      </c>
      <c r="C123" s="177">
        <v>7.7699999999999991E-2</v>
      </c>
    </row>
    <row r="124" spans="1:3" x14ac:dyDescent="0.3">
      <c r="A124" s="140" t="s">
        <v>188</v>
      </c>
      <c r="B124" s="177">
        <v>6.6900000000000001E-2</v>
      </c>
      <c r="C124" s="177">
        <v>9.2300000000000007E-2</v>
      </c>
    </row>
    <row r="125" spans="1:3" x14ac:dyDescent="0.3">
      <c r="A125" s="140" t="s">
        <v>189</v>
      </c>
      <c r="B125" s="177">
        <v>0.1157</v>
      </c>
      <c r="C125" s="177">
        <v>0.1026</v>
      </c>
    </row>
    <row r="126" spans="1:3" x14ac:dyDescent="0.3">
      <c r="A126" s="140" t="s">
        <v>190</v>
      </c>
      <c r="B126" s="177">
        <v>9.0500000000000011E-2</v>
      </c>
      <c r="C126" s="177">
        <v>8.1600000000000006E-2</v>
      </c>
    </row>
    <row r="127" spans="1:3" x14ac:dyDescent="0.3">
      <c r="A127" s="140" t="s">
        <v>191</v>
      </c>
      <c r="B127" s="177">
        <v>8.48E-2</v>
      </c>
      <c r="C127" s="177">
        <v>8.4100000000000008E-2</v>
      </c>
    </row>
    <row r="128" spans="1:3" x14ac:dyDescent="0.3">
      <c r="A128" s="140" t="s">
        <v>192</v>
      </c>
      <c r="B128" s="177">
        <v>7.3300000000000004E-2</v>
      </c>
      <c r="C128" s="177">
        <v>8.0100000000000005E-2</v>
      </c>
    </row>
    <row r="129" spans="1:3" x14ac:dyDescent="0.3">
      <c r="A129" s="140" t="s">
        <v>193</v>
      </c>
      <c r="B129" s="177">
        <v>6.7599999999999993E-2</v>
      </c>
      <c r="C129" s="177">
        <v>7.3700000000000002E-2</v>
      </c>
    </row>
    <row r="130" spans="1:3" x14ac:dyDescent="0.3">
      <c r="A130" s="140" t="s">
        <v>194</v>
      </c>
      <c r="B130" s="177">
        <v>0</v>
      </c>
      <c r="C130" s="177">
        <v>5.1399999999999994E-2</v>
      </c>
    </row>
    <row r="131" spans="1:3" x14ac:dyDescent="0.3">
      <c r="A131" s="140" t="s">
        <v>195</v>
      </c>
      <c r="B131" s="177">
        <v>4.3799999999999999E-2</v>
      </c>
      <c r="C131" s="177">
        <v>4.3099999999999999E-2</v>
      </c>
    </row>
    <row r="132" spans="1:3" x14ac:dyDescent="0.3">
      <c r="A132" s="140" t="s">
        <v>196</v>
      </c>
      <c r="B132" s="177">
        <v>8.539999999999999E-2</v>
      </c>
      <c r="C132" s="177">
        <v>8.3400000000000002E-2</v>
      </c>
    </row>
    <row r="133" spans="1:3" x14ac:dyDescent="0.3">
      <c r="A133" s="140" t="s">
        <v>197</v>
      </c>
      <c r="B133" s="177">
        <v>9.3699999999999992E-2</v>
      </c>
      <c r="C133" s="177">
        <v>0.1052</v>
      </c>
    </row>
    <row r="134" spans="1:3" x14ac:dyDescent="0.3">
      <c r="A134" s="140" t="s">
        <v>200</v>
      </c>
      <c r="B134" s="177">
        <v>0.10859999999999999</v>
      </c>
      <c r="C134" s="177">
        <v>0.1116</v>
      </c>
    </row>
    <row r="135" spans="1:3" x14ac:dyDescent="0.3">
      <c r="A135" s="140" t="s">
        <v>401</v>
      </c>
      <c r="B135" s="177">
        <v>0</v>
      </c>
      <c r="C135" s="177">
        <v>0.25</v>
      </c>
    </row>
    <row r="136" spans="1:3" x14ac:dyDescent="0.3">
      <c r="A136" s="140" t="s">
        <v>402</v>
      </c>
      <c r="B136" s="177">
        <v>0</v>
      </c>
      <c r="C136" s="177">
        <v>0.12689999999999999</v>
      </c>
    </row>
    <row r="137" spans="1:3" x14ac:dyDescent="0.3">
      <c r="A137" s="140" t="s">
        <v>201</v>
      </c>
      <c r="B137" s="177">
        <v>8.2299999999999998E-2</v>
      </c>
      <c r="C137" s="177">
        <v>8.2100000000000006E-2</v>
      </c>
    </row>
    <row r="138" spans="1:3" x14ac:dyDescent="0.3">
      <c r="B138" s="31"/>
      <c r="C138" s="31"/>
    </row>
    <row r="139" spans="1:3" x14ac:dyDescent="0.3">
      <c r="B139" s="31"/>
      <c r="C139" s="31"/>
    </row>
    <row r="140" spans="1:3" x14ac:dyDescent="0.3">
      <c r="B140" s="31"/>
      <c r="C140" s="31"/>
    </row>
    <row r="141" spans="1:3" x14ac:dyDescent="0.3">
      <c r="B141" s="31"/>
      <c r="C141" s="31"/>
    </row>
    <row r="142" spans="1:3" x14ac:dyDescent="0.3">
      <c r="B142" s="31"/>
      <c r="C142" s="31"/>
    </row>
    <row r="143" spans="1:3" x14ac:dyDescent="0.3">
      <c r="B143" s="31"/>
      <c r="C143" s="31"/>
    </row>
    <row r="144" spans="1:3" x14ac:dyDescent="0.3">
      <c r="B144" s="31"/>
      <c r="C144" s="31"/>
    </row>
    <row r="145" spans="2:3" x14ac:dyDescent="0.3">
      <c r="B145" s="31"/>
      <c r="C145" s="31"/>
    </row>
    <row r="146" spans="2:3" x14ac:dyDescent="0.3">
      <c r="B146" s="31"/>
      <c r="C146" s="31"/>
    </row>
    <row r="147" spans="2:3" x14ac:dyDescent="0.3">
      <c r="B147" s="31"/>
      <c r="C147" s="31"/>
    </row>
    <row r="148" spans="2:3" x14ac:dyDescent="0.3">
      <c r="B148" s="31"/>
      <c r="C148" s="31"/>
    </row>
    <row r="149" spans="2:3" x14ac:dyDescent="0.3">
      <c r="B149" s="31"/>
      <c r="C149" s="31"/>
    </row>
    <row r="150" spans="2:3" x14ac:dyDescent="0.3">
      <c r="B150" s="31"/>
      <c r="C150" s="31"/>
    </row>
    <row r="151" spans="2:3" x14ac:dyDescent="0.3">
      <c r="B151" s="31"/>
      <c r="C151" s="31"/>
    </row>
    <row r="152" spans="2:3" x14ac:dyDescent="0.3">
      <c r="B152" s="31"/>
      <c r="C152" s="31"/>
    </row>
    <row r="153" spans="2:3" x14ac:dyDescent="0.3">
      <c r="B153" s="31"/>
      <c r="C153" s="31"/>
    </row>
    <row r="154" spans="2:3" x14ac:dyDescent="0.3">
      <c r="B154" s="31"/>
      <c r="C154" s="31"/>
    </row>
    <row r="155" spans="2:3" x14ac:dyDescent="0.3">
      <c r="B155" s="31"/>
      <c r="C155" s="31"/>
    </row>
    <row r="156" spans="2:3" x14ac:dyDescent="0.3">
      <c r="B156" s="31"/>
      <c r="C156" s="31"/>
    </row>
  </sheetData>
  <sheetProtection algorithmName="SHA-512" hashValue="PNs4ArS5R2EU4M2Oryj2gfMNhek/LbEgfXQx1DOpN5P28GF4CbnkF/kSCBCF1ebqk4N5kYIlL8vV+LA1QMXVfQ==" saltValue="XsU5m+hdniaBWl7sMjQOzQ==" spinCount="100000" sheet="1" objects="1" scenarios="1"/>
  <mergeCells count="1">
    <mergeCell ref="A49:B49"/>
  </mergeCells>
  <hyperlinks>
    <hyperlink ref="H95" r:id="rId1" xr:uid="{7BD82074-DFDC-4369-8F46-4C42F6FE92E7}"/>
    <hyperlink ref="H102" r:id="rId2" xr:uid="{E1AED10A-3C57-4B2D-8682-5645803791FF}"/>
    <hyperlink ref="H100" r:id="rId3" xr:uid="{4DFACF71-66D4-465E-9ACE-8713A6D749A7}"/>
    <hyperlink ref="H107" r:id="rId4" xr:uid="{FFCCCBAB-1DE1-4990-9205-00E29B7B0F7B}"/>
    <hyperlink ref="H103" r:id="rId5" xr:uid="{FEC40F24-5600-4A40-A68A-BE371CCF02AA}"/>
    <hyperlink ref="H104" r:id="rId6" xr:uid="{CC866150-0B96-49BE-956F-C91EB3040FD3}"/>
    <hyperlink ref="H105" r:id="rId7" xr:uid="{E4A46143-4EF0-4F66-B7C1-828A7082387F}"/>
    <hyperlink ref="H106" r:id="rId8" xr:uid="{1EFE2DA4-0264-402B-AD43-F6272DAA52A0}"/>
    <hyperlink ref="J31" r:id="rId9" xr:uid="{CBB674A8-5368-489B-9E23-A82158DC8500}"/>
    <hyperlink ref="D57" r:id="rId10" location="pineforests" xr:uid="{647DFE37-B3B0-453F-AF67-27FEDDC517C7}"/>
    <hyperlink ref="D56" r:id="rId11" location="vehicles" xr:uid="{377D9895-9C65-4CC7-8581-A430D71E4087}"/>
  </hyperlinks>
  <pageMargins left="0.7" right="0.7" top="0.75" bottom="0.75" header="0.3" footer="0.3"/>
  <pageSetup orientation="portrait" r:id="rId12"/>
  <legacyDrawing r:id="rId1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4" tint="0.39997558519241921"/>
  </sheetPr>
  <dimension ref="A1:AD78"/>
  <sheetViews>
    <sheetView workbookViewId="0">
      <selection activeCell="A2" sqref="A2:H3"/>
    </sheetView>
  </sheetViews>
  <sheetFormatPr defaultRowHeight="14.4" x14ac:dyDescent="0.3"/>
  <cols>
    <col min="1" max="1" width="27.88671875" customWidth="1"/>
    <col min="2" max="5" width="14.5546875" customWidth="1"/>
    <col min="6" max="6" width="20" customWidth="1"/>
    <col min="7" max="8" width="14.5546875" customWidth="1"/>
    <col min="9" max="9" width="15.33203125" customWidth="1"/>
    <col min="10" max="10" width="30.6640625" customWidth="1"/>
    <col min="11" max="12" width="10.109375" bestFit="1" customWidth="1"/>
    <col min="13" max="20" width="11.109375" bestFit="1" customWidth="1"/>
  </cols>
  <sheetData>
    <row r="1" spans="1:20" ht="23.4" x14ac:dyDescent="0.45">
      <c r="A1" s="137" t="s">
        <v>324</v>
      </c>
      <c r="B1" s="138"/>
      <c r="C1" s="139"/>
      <c r="D1" s="139"/>
      <c r="E1" s="139"/>
      <c r="F1" s="139"/>
      <c r="G1" s="139"/>
      <c r="H1" s="139"/>
    </row>
    <row r="2" spans="1:20" x14ac:dyDescent="0.3">
      <c r="A2" s="284" t="s">
        <v>353</v>
      </c>
      <c r="B2" s="284"/>
      <c r="C2" s="284"/>
      <c r="D2" s="284"/>
      <c r="E2" s="284"/>
      <c r="F2" s="284"/>
      <c r="G2" s="284"/>
      <c r="H2" s="284"/>
      <c r="M2" s="180"/>
      <c r="N2" s="180"/>
      <c r="O2" s="180"/>
    </row>
    <row r="3" spans="1:20" x14ac:dyDescent="0.3">
      <c r="A3" s="284"/>
      <c r="B3" s="284"/>
      <c r="C3" s="284"/>
      <c r="D3" s="284"/>
      <c r="E3" s="284"/>
      <c r="F3" s="284"/>
      <c r="G3" s="284"/>
      <c r="H3" s="284"/>
      <c r="J3" s="180"/>
      <c r="K3" s="180"/>
      <c r="L3" s="180"/>
      <c r="M3" s="180"/>
      <c r="N3" s="180"/>
      <c r="O3" s="180"/>
    </row>
    <row r="4" spans="1:20" x14ac:dyDescent="0.3">
      <c r="A4" s="287" t="s">
        <v>330</v>
      </c>
      <c r="B4" s="287"/>
      <c r="C4" s="287"/>
      <c r="D4" s="287"/>
      <c r="E4" s="287"/>
      <c r="F4" s="287"/>
      <c r="G4" s="287"/>
      <c r="H4" s="287"/>
      <c r="J4" s="180"/>
      <c r="K4" s="180"/>
      <c r="L4" s="180"/>
      <c r="M4" s="180"/>
      <c r="N4" s="180"/>
      <c r="O4" s="180"/>
    </row>
    <row r="5" spans="1:20" ht="14.4" customHeight="1" x14ac:dyDescent="0.3">
      <c r="A5" s="286" t="s">
        <v>331</v>
      </c>
      <c r="B5" s="286"/>
      <c r="C5" s="286"/>
      <c r="D5" s="286"/>
      <c r="E5" s="286"/>
      <c r="F5" s="286"/>
      <c r="G5" s="286"/>
      <c r="H5" s="286"/>
      <c r="J5" s="180"/>
      <c r="K5" s="180"/>
      <c r="L5" s="180"/>
      <c r="M5" s="180"/>
      <c r="N5" s="180"/>
      <c r="O5" s="180"/>
    </row>
    <row r="6" spans="1:20" x14ac:dyDescent="0.3">
      <c r="A6" s="286"/>
      <c r="B6" s="286"/>
      <c r="C6" s="286"/>
      <c r="D6" s="286"/>
      <c r="E6" s="286"/>
      <c r="F6" s="286"/>
      <c r="G6" s="286"/>
      <c r="H6" s="286"/>
      <c r="J6" s="180"/>
      <c r="K6" s="180"/>
      <c r="L6" s="180"/>
      <c r="M6" s="180"/>
      <c r="N6" s="180"/>
      <c r="O6" s="180"/>
    </row>
    <row r="7" spans="1:20" x14ac:dyDescent="0.3">
      <c r="A7" s="286"/>
      <c r="B7" s="286"/>
      <c r="C7" s="286"/>
      <c r="D7" s="286"/>
      <c r="E7" s="286"/>
      <c r="F7" s="286"/>
      <c r="G7" s="286"/>
      <c r="H7" s="286"/>
      <c r="J7" s="180"/>
      <c r="K7" s="180"/>
      <c r="L7" s="180"/>
      <c r="M7" s="180"/>
      <c r="N7" s="180"/>
      <c r="O7" s="180"/>
    </row>
    <row r="8" spans="1:20" x14ac:dyDescent="0.3">
      <c r="A8" s="286"/>
      <c r="B8" s="286"/>
      <c r="C8" s="286"/>
      <c r="D8" s="286"/>
      <c r="E8" s="286"/>
      <c r="F8" s="286"/>
      <c r="G8" s="286"/>
      <c r="H8" s="286"/>
      <c r="J8" s="180"/>
      <c r="K8" s="180"/>
      <c r="L8" s="180"/>
      <c r="M8" s="180"/>
      <c r="N8" s="180"/>
      <c r="O8" s="180"/>
    </row>
    <row r="9" spans="1:20" x14ac:dyDescent="0.3">
      <c r="A9" s="181" t="s">
        <v>333</v>
      </c>
      <c r="B9" s="180"/>
      <c r="C9" s="180"/>
      <c r="D9" s="180"/>
      <c r="E9" s="180"/>
      <c r="F9" s="180"/>
      <c r="G9" s="180"/>
      <c r="H9" s="180"/>
      <c r="J9" s="180"/>
      <c r="K9" s="180"/>
      <c r="L9" s="180"/>
      <c r="M9" s="180"/>
      <c r="N9" s="180"/>
      <c r="O9" s="180"/>
    </row>
    <row r="10" spans="1:20" x14ac:dyDescent="0.3">
      <c r="A10" s="33" t="s">
        <v>332</v>
      </c>
      <c r="B10" s="182"/>
      <c r="C10" s="182"/>
      <c r="D10" s="182"/>
      <c r="E10" s="182"/>
      <c r="F10" s="182"/>
      <c r="G10" s="182"/>
      <c r="H10" s="182"/>
      <c r="J10" s="180"/>
      <c r="K10" s="180"/>
      <c r="L10" s="180"/>
      <c r="M10" s="180"/>
      <c r="N10" s="180"/>
      <c r="O10" s="180"/>
    </row>
    <row r="11" spans="1:20" ht="21" x14ac:dyDescent="0.4">
      <c r="A11" s="24" t="s">
        <v>325</v>
      </c>
      <c r="B11" s="183"/>
      <c r="C11" s="183"/>
      <c r="D11" s="183"/>
      <c r="E11" s="183"/>
      <c r="F11" s="183"/>
      <c r="G11" s="183"/>
      <c r="H11" s="183"/>
      <c r="I11" s="183"/>
      <c r="J11" s="183"/>
      <c r="K11" s="183"/>
      <c r="L11" s="183"/>
      <c r="M11" s="183"/>
      <c r="N11" s="183"/>
      <c r="O11" s="183"/>
      <c r="P11" s="183"/>
      <c r="Q11" s="183"/>
      <c r="R11" s="183"/>
      <c r="S11" s="183"/>
      <c r="T11" s="183"/>
    </row>
    <row r="12" spans="1:20" x14ac:dyDescent="0.3">
      <c r="A12" s="285" t="s">
        <v>314</v>
      </c>
      <c r="B12" s="285"/>
      <c r="C12" s="285"/>
      <c r="D12" s="285"/>
      <c r="E12" s="285"/>
      <c r="F12" s="285"/>
      <c r="J12" s="180"/>
      <c r="K12" s="180"/>
      <c r="L12" s="180"/>
      <c r="M12" s="180"/>
      <c r="N12" s="180"/>
      <c r="O12" s="180"/>
    </row>
    <row r="13" spans="1:20" x14ac:dyDescent="0.3">
      <c r="A13" s="285" t="s">
        <v>315</v>
      </c>
      <c r="B13" s="285"/>
      <c r="C13" s="285"/>
      <c r="D13" s="285"/>
      <c r="E13" s="285"/>
      <c r="F13" s="285"/>
      <c r="J13" s="180"/>
      <c r="K13" s="180"/>
      <c r="L13" s="180"/>
      <c r="M13" s="180"/>
      <c r="N13" s="180"/>
      <c r="O13" s="180"/>
    </row>
    <row r="14" spans="1:20" x14ac:dyDescent="0.3">
      <c r="A14" s="285" t="s">
        <v>236</v>
      </c>
      <c r="B14" s="285"/>
      <c r="C14" s="285"/>
      <c r="D14" s="285"/>
      <c r="E14" s="285"/>
      <c r="F14" s="285"/>
      <c r="J14" s="180"/>
      <c r="K14" s="180"/>
      <c r="L14" s="180"/>
      <c r="M14" s="180"/>
      <c r="N14" s="180"/>
      <c r="O14" s="180"/>
    </row>
    <row r="15" spans="1:20" x14ac:dyDescent="0.3">
      <c r="A15" s="285" t="s">
        <v>316</v>
      </c>
      <c r="B15" s="285"/>
      <c r="C15" s="285"/>
      <c r="D15" s="285"/>
      <c r="E15" s="285"/>
      <c r="F15" s="285"/>
      <c r="J15" s="180"/>
      <c r="K15" s="180"/>
      <c r="L15" s="180"/>
      <c r="M15" s="180"/>
      <c r="N15" s="180"/>
      <c r="O15" s="180"/>
    </row>
    <row r="16" spans="1:20" x14ac:dyDescent="0.3">
      <c r="A16" s="285" t="s">
        <v>317</v>
      </c>
      <c r="B16" s="285"/>
      <c r="C16" s="285"/>
      <c r="D16" s="285"/>
      <c r="E16" s="285"/>
      <c r="F16" s="285"/>
    </row>
    <row r="17" spans="1:30" x14ac:dyDescent="0.3">
      <c r="A17" s="8"/>
      <c r="B17" s="8"/>
      <c r="C17" s="8"/>
      <c r="D17" s="8"/>
      <c r="E17" s="8"/>
      <c r="F17" s="8"/>
    </row>
    <row r="18" spans="1:30" ht="21" x14ac:dyDescent="0.4">
      <c r="A18" s="24" t="s">
        <v>339</v>
      </c>
      <c r="B18" s="183"/>
      <c r="C18" s="183"/>
      <c r="D18" s="183"/>
      <c r="E18" s="183"/>
      <c r="F18" s="183"/>
      <c r="G18" s="183"/>
      <c r="H18" s="183"/>
      <c r="I18" s="183"/>
      <c r="J18" s="183"/>
      <c r="K18" s="183"/>
      <c r="L18" s="183"/>
      <c r="M18" s="183"/>
      <c r="N18" s="183"/>
      <c r="O18" s="183"/>
      <c r="P18" s="183"/>
      <c r="Q18" s="183"/>
      <c r="R18" s="183"/>
      <c r="S18" s="183"/>
      <c r="T18" s="183"/>
    </row>
    <row r="19" spans="1:30" x14ac:dyDescent="0.3">
      <c r="A19" s="8"/>
      <c r="B19" s="8"/>
      <c r="C19" s="8"/>
      <c r="D19" s="8"/>
      <c r="E19" s="8"/>
      <c r="F19" s="8"/>
    </row>
    <row r="20" spans="1:30" ht="21" x14ac:dyDescent="0.4">
      <c r="C20" s="184" t="s">
        <v>341</v>
      </c>
      <c r="D20" s="185">
        <v>2024</v>
      </c>
      <c r="F20" s="8"/>
    </row>
    <row r="21" spans="1:30" x14ac:dyDescent="0.3">
      <c r="J21" s="1" t="s">
        <v>337</v>
      </c>
    </row>
    <row r="22" spans="1:30" ht="43.2" x14ac:dyDescent="0.3">
      <c r="A22" s="186"/>
      <c r="B22" s="282" t="s">
        <v>326</v>
      </c>
      <c r="C22" s="283"/>
      <c r="D22" s="282" t="s">
        <v>327</v>
      </c>
      <c r="E22" s="283"/>
      <c r="F22" s="187" t="s">
        <v>301</v>
      </c>
      <c r="G22" s="187" t="s">
        <v>302</v>
      </c>
      <c r="H22" s="187" t="s">
        <v>310</v>
      </c>
      <c r="I22" s="188"/>
      <c r="J22" s="189"/>
      <c r="K22" s="66" t="s">
        <v>234</v>
      </c>
      <c r="L22" s="190"/>
      <c r="M22" s="190"/>
      <c r="N22" s="190"/>
      <c r="O22" s="190"/>
      <c r="P22" s="190"/>
      <c r="Q22" s="190"/>
      <c r="R22" s="190"/>
      <c r="S22" s="190"/>
      <c r="T22" s="191"/>
    </row>
    <row r="23" spans="1:30" ht="28.8" x14ac:dyDescent="0.3">
      <c r="A23" s="192" t="s">
        <v>50</v>
      </c>
      <c r="B23" s="187" t="s">
        <v>51</v>
      </c>
      <c r="C23" s="193" t="s">
        <v>52</v>
      </c>
      <c r="D23" s="187" t="s">
        <v>51</v>
      </c>
      <c r="E23" s="193" t="s">
        <v>52</v>
      </c>
      <c r="F23" s="187" t="s">
        <v>53</v>
      </c>
      <c r="G23" s="187" t="s">
        <v>53</v>
      </c>
      <c r="H23" s="187" t="s">
        <v>53</v>
      </c>
      <c r="I23" s="188"/>
      <c r="J23" s="67" t="s">
        <v>235</v>
      </c>
      <c r="K23" s="194" t="s">
        <v>233</v>
      </c>
      <c r="L23" s="195" t="s">
        <v>224</v>
      </c>
      <c r="M23" s="195" t="s">
        <v>225</v>
      </c>
      <c r="N23" s="195" t="s">
        <v>226</v>
      </c>
      <c r="O23" s="195" t="s">
        <v>227</v>
      </c>
      <c r="P23" s="195" t="s">
        <v>228</v>
      </c>
      <c r="Q23" s="195" t="s">
        <v>229</v>
      </c>
      <c r="R23" s="195" t="s">
        <v>230</v>
      </c>
      <c r="S23" s="195" t="s">
        <v>231</v>
      </c>
      <c r="T23" s="68" t="s">
        <v>232</v>
      </c>
      <c r="X23" s="196"/>
      <c r="Y23" s="196"/>
      <c r="Z23" s="196"/>
      <c r="AA23" s="196"/>
      <c r="AB23" s="196"/>
      <c r="AC23" s="196"/>
      <c r="AD23" s="196"/>
    </row>
    <row r="24" spans="1:30" x14ac:dyDescent="0.3">
      <c r="A24" s="179" t="s">
        <v>292</v>
      </c>
      <c r="B24" s="50"/>
      <c r="C24" s="81"/>
      <c r="D24" s="50"/>
      <c r="E24" s="81"/>
      <c r="F24" s="43">
        <f>B24*Reference!D40</f>
        <v>0</v>
      </c>
      <c r="G24" s="197">
        <f>D24*Reference!D40</f>
        <v>0</v>
      </c>
      <c r="H24" s="44">
        <f>F24-G24</f>
        <v>0</v>
      </c>
      <c r="I24" s="186"/>
      <c r="J24" s="198"/>
      <c r="K24" s="199">
        <f>D20</f>
        <v>2024</v>
      </c>
      <c r="L24" s="199">
        <f>K24+1</f>
        <v>2025</v>
      </c>
      <c r="M24" s="199">
        <f>L24+1</f>
        <v>2026</v>
      </c>
      <c r="N24" s="199">
        <f>M24+1</f>
        <v>2027</v>
      </c>
      <c r="O24" s="199">
        <f t="shared" ref="O24:T24" si="0">N24+1</f>
        <v>2028</v>
      </c>
      <c r="P24" s="199">
        <f t="shared" si="0"/>
        <v>2029</v>
      </c>
      <c r="Q24" s="199">
        <f t="shared" si="0"/>
        <v>2030</v>
      </c>
      <c r="R24" s="199">
        <f t="shared" si="0"/>
        <v>2031</v>
      </c>
      <c r="S24" s="199">
        <f t="shared" si="0"/>
        <v>2032</v>
      </c>
      <c r="T24" s="69">
        <f t="shared" si="0"/>
        <v>2033</v>
      </c>
      <c r="U24" s="196"/>
      <c r="V24" s="196"/>
      <c r="X24" s="200"/>
      <c r="Y24" s="200"/>
      <c r="Z24" s="200"/>
      <c r="AA24" s="200"/>
      <c r="AB24" s="200"/>
      <c r="AC24" s="200"/>
      <c r="AD24" s="200"/>
    </row>
    <row r="25" spans="1:30" x14ac:dyDescent="0.3">
      <c r="A25" s="179"/>
      <c r="B25" s="201"/>
      <c r="C25" s="81"/>
      <c r="D25" s="201"/>
      <c r="E25" s="81"/>
      <c r="F25" s="202"/>
      <c r="G25" s="203"/>
      <c r="H25" s="204"/>
      <c r="I25" s="186"/>
      <c r="J25" s="205" t="s">
        <v>289</v>
      </c>
      <c r="K25" s="206">
        <f>$F$38</f>
        <v>0</v>
      </c>
      <c r="L25" s="206">
        <f t="shared" ref="L25:T25" si="1">$F$38</f>
        <v>0</v>
      </c>
      <c r="M25" s="206">
        <f t="shared" si="1"/>
        <v>0</v>
      </c>
      <c r="N25" s="206">
        <f t="shared" si="1"/>
        <v>0</v>
      </c>
      <c r="O25" s="206">
        <f t="shared" si="1"/>
        <v>0</v>
      </c>
      <c r="P25" s="206">
        <f t="shared" si="1"/>
        <v>0</v>
      </c>
      <c r="Q25" s="206">
        <f t="shared" si="1"/>
        <v>0</v>
      </c>
      <c r="R25" s="206">
        <f t="shared" si="1"/>
        <v>0</v>
      </c>
      <c r="S25" s="206">
        <f t="shared" si="1"/>
        <v>0</v>
      </c>
      <c r="T25" s="206">
        <f t="shared" si="1"/>
        <v>0</v>
      </c>
      <c r="U25" s="196"/>
      <c r="V25" s="196"/>
      <c r="X25" s="200"/>
      <c r="Y25" s="200"/>
      <c r="Z25" s="200"/>
      <c r="AA25" s="200"/>
      <c r="AB25" s="200"/>
      <c r="AC25" s="200"/>
      <c r="AD25" s="200"/>
    </row>
    <row r="26" spans="1:30" ht="28.8" x14ac:dyDescent="0.3">
      <c r="A26" s="179" t="s">
        <v>293</v>
      </c>
      <c r="B26" s="50"/>
      <c r="C26" s="82"/>
      <c r="D26" s="50"/>
      <c r="E26" s="82"/>
      <c r="F26" s="45">
        <f>(B26-(B26*$C26))*Reference!D42</f>
        <v>0</v>
      </c>
      <c r="G26" s="207">
        <f>(D26-(D26*$E26))*Reference!D42</f>
        <v>0</v>
      </c>
      <c r="H26" s="46">
        <f>F26-G26</f>
        <v>0</v>
      </c>
      <c r="I26" s="186"/>
      <c r="J26" s="86" t="s">
        <v>290</v>
      </c>
      <c r="K26" s="206">
        <f>$G$38</f>
        <v>0</v>
      </c>
      <c r="L26" s="206">
        <f t="shared" ref="L26:T26" si="2">$G$38</f>
        <v>0</v>
      </c>
      <c r="M26" s="206">
        <f t="shared" si="2"/>
        <v>0</v>
      </c>
      <c r="N26" s="206">
        <f t="shared" si="2"/>
        <v>0</v>
      </c>
      <c r="O26" s="206">
        <f t="shared" si="2"/>
        <v>0</v>
      </c>
      <c r="P26" s="206">
        <f t="shared" si="2"/>
        <v>0</v>
      </c>
      <c r="Q26" s="206">
        <f t="shared" si="2"/>
        <v>0</v>
      </c>
      <c r="R26" s="206">
        <f t="shared" si="2"/>
        <v>0</v>
      </c>
      <c r="S26" s="206">
        <f t="shared" si="2"/>
        <v>0</v>
      </c>
      <c r="T26" s="206">
        <f t="shared" si="2"/>
        <v>0</v>
      </c>
      <c r="U26" s="200"/>
      <c r="V26" s="200"/>
      <c r="W26" s="200"/>
    </row>
    <row r="27" spans="1:30" x14ac:dyDescent="0.3">
      <c r="A27" s="179"/>
      <c r="B27" s="201"/>
      <c r="C27" s="81"/>
      <c r="D27" s="201"/>
      <c r="E27" s="81"/>
      <c r="F27" s="202"/>
      <c r="G27" s="203"/>
      <c r="H27" s="204"/>
      <c r="I27" s="186"/>
      <c r="J27" s="86" t="s">
        <v>291</v>
      </c>
      <c r="K27" s="206">
        <f>$H$38</f>
        <v>0</v>
      </c>
      <c r="L27" s="206">
        <f>$H$38+K27</f>
        <v>0</v>
      </c>
      <c r="M27" s="206">
        <f t="shared" ref="M27:T27" si="3">$H$38+L27</f>
        <v>0</v>
      </c>
      <c r="N27" s="206">
        <f t="shared" si="3"/>
        <v>0</v>
      </c>
      <c r="O27" s="206">
        <f t="shared" si="3"/>
        <v>0</v>
      </c>
      <c r="P27" s="206">
        <f t="shared" si="3"/>
        <v>0</v>
      </c>
      <c r="Q27" s="206">
        <f t="shared" si="3"/>
        <v>0</v>
      </c>
      <c r="R27" s="206">
        <f t="shared" si="3"/>
        <v>0</v>
      </c>
      <c r="S27" s="206">
        <f t="shared" si="3"/>
        <v>0</v>
      </c>
      <c r="T27" s="206">
        <f t="shared" si="3"/>
        <v>0</v>
      </c>
      <c r="U27" s="200"/>
      <c r="V27" s="200"/>
    </row>
    <row r="28" spans="1:30" x14ac:dyDescent="0.3">
      <c r="A28" s="106" t="s">
        <v>294</v>
      </c>
      <c r="B28" s="50"/>
      <c r="C28" s="81"/>
      <c r="D28" s="50"/>
      <c r="E28" s="81"/>
      <c r="F28" s="45">
        <f>B28*WA_Elect_MT_CO2_kWh</f>
        <v>0</v>
      </c>
      <c r="G28" s="207">
        <f>D28*WA_Elect_MT_CO2_kWh</f>
        <v>0</v>
      </c>
      <c r="H28" s="46">
        <f>F28-G28</f>
        <v>0</v>
      </c>
      <c r="I28" s="186"/>
      <c r="J28" s="186"/>
    </row>
    <row r="29" spans="1:30" x14ac:dyDescent="0.3">
      <c r="A29" s="179"/>
      <c r="B29" s="201"/>
      <c r="C29" s="81"/>
      <c r="D29" s="201"/>
      <c r="E29" s="81"/>
      <c r="F29" s="202"/>
      <c r="G29" s="203"/>
      <c r="H29" s="204"/>
      <c r="I29" s="186"/>
    </row>
    <row r="30" spans="1:30" ht="28.8" x14ac:dyDescent="0.3">
      <c r="A30" s="179" t="s">
        <v>295</v>
      </c>
      <c r="B30" s="50"/>
      <c r="C30" s="81"/>
      <c r="D30" s="50"/>
      <c r="E30" s="81"/>
      <c r="F30" s="43">
        <f>B30*Reference!D15</f>
        <v>0</v>
      </c>
      <c r="G30" s="197">
        <f>D30*Reference!D15</f>
        <v>0</v>
      </c>
      <c r="H30" s="44">
        <f>F30-G30</f>
        <v>0</v>
      </c>
      <c r="I30" s="186"/>
    </row>
    <row r="31" spans="1:30" x14ac:dyDescent="0.3">
      <c r="A31" s="179"/>
      <c r="B31" s="201"/>
      <c r="C31" s="81"/>
      <c r="D31" s="201"/>
      <c r="E31" s="81"/>
      <c r="F31" s="202"/>
      <c r="G31" s="203"/>
      <c r="H31" s="204"/>
      <c r="I31" s="186"/>
    </row>
    <row r="32" spans="1:30" ht="28.8" x14ac:dyDescent="0.3">
      <c r="A32" s="179" t="s">
        <v>296</v>
      </c>
      <c r="B32" s="50"/>
      <c r="C32" s="81"/>
      <c r="D32" s="50"/>
      <c r="E32" s="81"/>
      <c r="F32" s="43">
        <f>B32*Reference!D45</f>
        <v>0</v>
      </c>
      <c r="G32" s="197">
        <f>D32*Reference!D45</f>
        <v>0</v>
      </c>
      <c r="H32" s="44">
        <f>F32-G32</f>
        <v>0</v>
      </c>
      <c r="I32" s="186"/>
    </row>
    <row r="33" spans="1:20" x14ac:dyDescent="0.3">
      <c r="A33" s="179" t="s">
        <v>297</v>
      </c>
      <c r="B33" s="50"/>
      <c r="C33" s="81"/>
      <c r="D33" s="50"/>
      <c r="E33" s="81"/>
      <c r="F33" s="43">
        <f>B33*Reference!D21</f>
        <v>0</v>
      </c>
      <c r="G33" s="197">
        <f>D33*Reference!D21</f>
        <v>0</v>
      </c>
      <c r="H33" s="44">
        <f t="shared" ref="H33:H36" si="4">F33-G33</f>
        <v>0</v>
      </c>
      <c r="I33" s="186"/>
    </row>
    <row r="34" spans="1:20" x14ac:dyDescent="0.3">
      <c r="A34" s="179" t="s">
        <v>298</v>
      </c>
      <c r="B34" s="50"/>
      <c r="C34" s="81"/>
      <c r="D34" s="50"/>
      <c r="E34" s="81"/>
      <c r="F34" s="43">
        <f>B34*Reference!D46</f>
        <v>0</v>
      </c>
      <c r="G34" s="197">
        <f>D34*Reference!D46</f>
        <v>0</v>
      </c>
      <c r="H34" s="44">
        <f t="shared" si="4"/>
        <v>0</v>
      </c>
      <c r="I34" s="186"/>
    </row>
    <row r="35" spans="1:20" x14ac:dyDescent="0.3">
      <c r="A35" s="179" t="s">
        <v>299</v>
      </c>
      <c r="B35" s="50"/>
      <c r="C35" s="81"/>
      <c r="D35" s="50"/>
      <c r="E35" s="81"/>
      <c r="F35" s="43">
        <f>B35*Reference!D20</f>
        <v>0</v>
      </c>
      <c r="G35" s="197">
        <f>D35*Reference!D20</f>
        <v>0</v>
      </c>
      <c r="H35" s="44">
        <f t="shared" si="4"/>
        <v>0</v>
      </c>
      <c r="I35" s="186"/>
    </row>
    <row r="36" spans="1:20" ht="28.8" x14ac:dyDescent="0.3">
      <c r="A36" s="179" t="s">
        <v>300</v>
      </c>
      <c r="B36" s="51"/>
      <c r="C36" s="83"/>
      <c r="D36" s="51"/>
      <c r="E36" s="83"/>
      <c r="F36" s="47">
        <f>B36*Reference!D32</f>
        <v>0</v>
      </c>
      <c r="G36" s="48">
        <f>D36*Reference!D32</f>
        <v>0</v>
      </c>
      <c r="H36" s="49">
        <f t="shared" si="4"/>
        <v>0</v>
      </c>
      <c r="I36" s="186"/>
    </row>
    <row r="37" spans="1:20" x14ac:dyDescent="0.3">
      <c r="A37" s="186"/>
      <c r="B37" s="208"/>
      <c r="C37" s="186"/>
      <c r="D37" s="208"/>
      <c r="E37" s="186"/>
      <c r="F37" s="209"/>
      <c r="G37" s="209"/>
      <c r="H37" s="209"/>
      <c r="I37" s="186"/>
    </row>
    <row r="38" spans="1:20" ht="21" x14ac:dyDescent="0.4">
      <c r="E38" s="210"/>
      <c r="F38" s="211">
        <f>SUM(F24:F37)</f>
        <v>0</v>
      </c>
      <c r="G38" s="211">
        <f>SUM(G24:G37)</f>
        <v>0</v>
      </c>
      <c r="H38" s="211">
        <f>SUM(H24:H37)</f>
        <v>0</v>
      </c>
      <c r="I38" s="212" t="s">
        <v>303</v>
      </c>
    </row>
    <row r="39" spans="1:20" ht="21" x14ac:dyDescent="0.4">
      <c r="E39" s="210"/>
      <c r="F39" s="188"/>
      <c r="G39" s="188"/>
      <c r="H39" s="213">
        <f>T27</f>
        <v>0</v>
      </c>
      <c r="I39" s="212" t="s">
        <v>306</v>
      </c>
    </row>
    <row r="42" spans="1:20" ht="21" x14ac:dyDescent="0.4">
      <c r="D42" s="208"/>
      <c r="E42" s="186"/>
      <c r="F42" s="214"/>
      <c r="G42" s="214"/>
      <c r="H42" s="214"/>
      <c r="I42" s="212"/>
    </row>
    <row r="43" spans="1:20" ht="21" x14ac:dyDescent="0.4">
      <c r="D43" s="208"/>
      <c r="E43" s="186"/>
      <c r="F43" s="214"/>
      <c r="G43" s="214"/>
      <c r="H43" s="214"/>
      <c r="I43" s="212"/>
    </row>
    <row r="44" spans="1:20" ht="21" x14ac:dyDescent="0.4">
      <c r="A44" s="24" t="s">
        <v>218</v>
      </c>
      <c r="B44" s="183"/>
      <c r="C44" s="23"/>
      <c r="D44" s="183"/>
      <c r="E44" s="183"/>
      <c r="F44" s="183"/>
      <c r="G44" s="183"/>
      <c r="H44" s="183"/>
      <c r="I44" s="183"/>
      <c r="J44" s="183"/>
      <c r="K44" s="183"/>
      <c r="L44" s="183"/>
      <c r="M44" s="183"/>
      <c r="N44" s="183"/>
      <c r="O44" s="183"/>
      <c r="P44" s="183"/>
      <c r="Q44" s="183"/>
      <c r="R44" s="183"/>
      <c r="S44" s="183"/>
      <c r="T44" s="183"/>
    </row>
    <row r="45" spans="1:20" x14ac:dyDescent="0.3">
      <c r="A45" t="s">
        <v>340</v>
      </c>
    </row>
    <row r="47" spans="1:20" x14ac:dyDescent="0.3">
      <c r="A47" s="1" t="s">
        <v>203</v>
      </c>
      <c r="I47" s="186"/>
      <c r="J47" s="1" t="s">
        <v>338</v>
      </c>
    </row>
    <row r="48" spans="1:20" ht="43.2" x14ac:dyDescent="0.3">
      <c r="B48" s="52" t="s">
        <v>202</v>
      </c>
      <c r="C48" s="53" t="s">
        <v>204</v>
      </c>
      <c r="D48" s="187" t="s">
        <v>311</v>
      </c>
      <c r="E48" s="187" t="s">
        <v>312</v>
      </c>
      <c r="F48" s="187" t="s">
        <v>313</v>
      </c>
      <c r="J48" s="189"/>
      <c r="K48" s="66" t="s">
        <v>234</v>
      </c>
      <c r="L48" s="190"/>
      <c r="M48" s="190"/>
      <c r="N48" s="190"/>
      <c r="O48" s="190"/>
      <c r="P48" s="190"/>
      <c r="Q48" s="190"/>
      <c r="R48" s="190"/>
      <c r="S48" s="190"/>
      <c r="T48" s="191"/>
    </row>
    <row r="49" spans="1:20" x14ac:dyDescent="0.3">
      <c r="B49" s="55"/>
      <c r="C49" s="56"/>
      <c r="D49" s="215"/>
      <c r="E49" s="188"/>
      <c r="F49" s="216"/>
      <c r="J49" s="67" t="s">
        <v>307</v>
      </c>
      <c r="K49" s="194" t="s">
        <v>233</v>
      </c>
      <c r="L49" s="195" t="s">
        <v>224</v>
      </c>
      <c r="M49" s="195" t="s">
        <v>225</v>
      </c>
      <c r="N49" s="195" t="s">
        <v>226</v>
      </c>
      <c r="O49" s="195" t="s">
        <v>227</v>
      </c>
      <c r="P49" s="195" t="s">
        <v>228</v>
      </c>
      <c r="Q49" s="195" t="s">
        <v>229</v>
      </c>
      <c r="R49" s="195" t="s">
        <v>230</v>
      </c>
      <c r="S49" s="195" t="s">
        <v>231</v>
      </c>
      <c r="T49" s="68" t="s">
        <v>232</v>
      </c>
    </row>
    <row r="50" spans="1:20" x14ac:dyDescent="0.3">
      <c r="A50" s="106" t="s">
        <v>318</v>
      </c>
      <c r="B50" s="54">
        <v>0.10100000000000001</v>
      </c>
      <c r="C50" s="58">
        <f>B28-D28</f>
        <v>0</v>
      </c>
      <c r="D50" s="40">
        <f>B50*B28</f>
        <v>0</v>
      </c>
      <c r="E50" s="39">
        <f>B50*D28</f>
        <v>0</v>
      </c>
      <c r="F50" s="41">
        <f>D50-E50</f>
        <v>0</v>
      </c>
      <c r="J50" s="198"/>
      <c r="K50" s="199">
        <f>D20</f>
        <v>2024</v>
      </c>
      <c r="L50" s="199">
        <f>K50+1</f>
        <v>2025</v>
      </c>
      <c r="M50" s="199">
        <f>L50+1</f>
        <v>2026</v>
      </c>
      <c r="N50" s="199">
        <f>M50+1</f>
        <v>2027</v>
      </c>
      <c r="O50" s="199">
        <f t="shared" ref="O50:T50" si="5">N50+1</f>
        <v>2028</v>
      </c>
      <c r="P50" s="199">
        <f t="shared" si="5"/>
        <v>2029</v>
      </c>
      <c r="Q50" s="199">
        <f t="shared" si="5"/>
        <v>2030</v>
      </c>
      <c r="R50" s="199">
        <f t="shared" si="5"/>
        <v>2031</v>
      </c>
      <c r="S50" s="199">
        <f t="shared" si="5"/>
        <v>2032</v>
      </c>
      <c r="T50" s="69">
        <f t="shared" si="5"/>
        <v>2033</v>
      </c>
    </row>
    <row r="51" spans="1:20" x14ac:dyDescent="0.3">
      <c r="A51" s="178"/>
      <c r="B51" s="217"/>
      <c r="C51" s="113"/>
      <c r="D51" s="59"/>
      <c r="E51" s="60"/>
      <c r="F51" s="113"/>
      <c r="J51" s="205" t="s">
        <v>308</v>
      </c>
      <c r="K51" s="85">
        <f>$D$67</f>
        <v>0</v>
      </c>
      <c r="L51" s="85">
        <f t="shared" ref="L51:T51" si="6">$D$67</f>
        <v>0</v>
      </c>
      <c r="M51" s="85">
        <f t="shared" si="6"/>
        <v>0</v>
      </c>
      <c r="N51" s="85">
        <f t="shared" si="6"/>
        <v>0</v>
      </c>
      <c r="O51" s="85">
        <f t="shared" si="6"/>
        <v>0</v>
      </c>
      <c r="P51" s="85">
        <f t="shared" si="6"/>
        <v>0</v>
      </c>
      <c r="Q51" s="85">
        <f t="shared" si="6"/>
        <v>0</v>
      </c>
      <c r="R51" s="85">
        <f t="shared" si="6"/>
        <v>0</v>
      </c>
      <c r="S51" s="85">
        <f t="shared" si="6"/>
        <v>0</v>
      </c>
      <c r="T51" s="85">
        <f t="shared" si="6"/>
        <v>0</v>
      </c>
    </row>
    <row r="52" spans="1:20" ht="28.8" x14ac:dyDescent="0.3">
      <c r="A52" s="1" t="s">
        <v>205</v>
      </c>
      <c r="B52" s="55" t="s">
        <v>208</v>
      </c>
      <c r="C52" s="56" t="s">
        <v>209</v>
      </c>
      <c r="D52" s="59"/>
      <c r="E52" s="60"/>
      <c r="F52" s="113"/>
      <c r="J52" s="86" t="s">
        <v>309</v>
      </c>
      <c r="K52" s="85">
        <f>$E$67</f>
        <v>0</v>
      </c>
      <c r="L52" s="85">
        <f t="shared" ref="L52:T52" si="7">$E$67</f>
        <v>0</v>
      </c>
      <c r="M52" s="85">
        <f t="shared" si="7"/>
        <v>0</v>
      </c>
      <c r="N52" s="85">
        <f t="shared" si="7"/>
        <v>0</v>
      </c>
      <c r="O52" s="85">
        <f t="shared" si="7"/>
        <v>0</v>
      </c>
      <c r="P52" s="85">
        <f t="shared" si="7"/>
        <v>0</v>
      </c>
      <c r="Q52" s="85">
        <f t="shared" si="7"/>
        <v>0</v>
      </c>
      <c r="R52" s="85">
        <f t="shared" si="7"/>
        <v>0</v>
      </c>
      <c r="S52" s="85">
        <f t="shared" si="7"/>
        <v>0</v>
      </c>
      <c r="T52" s="85">
        <f t="shared" si="7"/>
        <v>0</v>
      </c>
    </row>
    <row r="53" spans="1:20" x14ac:dyDescent="0.3">
      <c r="A53" s="106" t="s">
        <v>319</v>
      </c>
      <c r="B53" s="54">
        <v>0.90838958534233372</v>
      </c>
      <c r="C53" s="63">
        <f>B30-D30</f>
        <v>0</v>
      </c>
      <c r="D53" s="61">
        <f>B53*B30</f>
        <v>0</v>
      </c>
      <c r="E53" s="62">
        <f>B53*D30</f>
        <v>0</v>
      </c>
      <c r="F53" s="41">
        <f t="shared" ref="F53:F65" si="8">D53-E53</f>
        <v>0</v>
      </c>
      <c r="J53" s="86" t="s">
        <v>342</v>
      </c>
      <c r="K53" s="85">
        <f>$F$67</f>
        <v>0</v>
      </c>
      <c r="L53" s="85">
        <f>$K$53+K53</f>
        <v>0</v>
      </c>
      <c r="M53" s="85">
        <f t="shared" ref="M53:T53" si="9">$K$53+L53</f>
        <v>0</v>
      </c>
      <c r="N53" s="85">
        <f t="shared" si="9"/>
        <v>0</v>
      </c>
      <c r="O53" s="85">
        <f t="shared" si="9"/>
        <v>0</v>
      </c>
      <c r="P53" s="85">
        <f t="shared" si="9"/>
        <v>0</v>
      </c>
      <c r="Q53" s="85">
        <f t="shared" si="9"/>
        <v>0</v>
      </c>
      <c r="R53" s="85">
        <f t="shared" si="9"/>
        <v>0</v>
      </c>
      <c r="S53" s="85">
        <f t="shared" si="9"/>
        <v>0</v>
      </c>
      <c r="T53" s="85">
        <f t="shared" si="9"/>
        <v>0</v>
      </c>
    </row>
    <row r="54" spans="1:20" x14ac:dyDescent="0.3">
      <c r="B54" s="217"/>
      <c r="C54" s="113"/>
      <c r="D54" s="59"/>
      <c r="E54" s="60"/>
      <c r="F54" s="113"/>
    </row>
    <row r="55" spans="1:20" x14ac:dyDescent="0.3">
      <c r="A55" s="1" t="s">
        <v>320</v>
      </c>
      <c r="B55" s="217"/>
      <c r="C55" s="113"/>
      <c r="D55" s="59"/>
      <c r="E55" s="60"/>
      <c r="F55" s="113"/>
    </row>
    <row r="56" spans="1:20" x14ac:dyDescent="0.3">
      <c r="B56" s="55" t="s">
        <v>206</v>
      </c>
      <c r="C56" s="56" t="s">
        <v>207</v>
      </c>
      <c r="D56" s="59"/>
      <c r="E56" s="60"/>
      <c r="F56" s="113"/>
    </row>
    <row r="57" spans="1:20" x14ac:dyDescent="0.3">
      <c r="A57" s="178" t="s">
        <v>16</v>
      </c>
      <c r="B57" s="54">
        <v>3.9609999999999999</v>
      </c>
      <c r="C57" s="63">
        <f>B24-D24</f>
        <v>0</v>
      </c>
      <c r="D57" s="61">
        <f>B57*B24</f>
        <v>0</v>
      </c>
      <c r="E57" s="62">
        <f>B57*D24</f>
        <v>0</v>
      </c>
      <c r="F57" s="41">
        <f t="shared" si="8"/>
        <v>0</v>
      </c>
    </row>
    <row r="58" spans="1:20" x14ac:dyDescent="0.3">
      <c r="A58" s="178" t="s">
        <v>22</v>
      </c>
      <c r="B58" s="54">
        <v>4.9829999999999997</v>
      </c>
      <c r="C58" s="63">
        <f>B26-D26</f>
        <v>0</v>
      </c>
      <c r="D58" s="61">
        <f>B58*B26</f>
        <v>0</v>
      </c>
      <c r="E58" s="62">
        <f>B58*D26</f>
        <v>0</v>
      </c>
      <c r="F58" s="41">
        <f t="shared" si="8"/>
        <v>0</v>
      </c>
    </row>
    <row r="59" spans="1:20" x14ac:dyDescent="0.3">
      <c r="A59" s="179" t="s">
        <v>321</v>
      </c>
      <c r="B59" s="54">
        <v>3.7410000000000001</v>
      </c>
      <c r="C59" s="63">
        <f>B32-D32</f>
        <v>0</v>
      </c>
      <c r="D59" s="61">
        <f>B59*B32</f>
        <v>0</v>
      </c>
      <c r="E59" s="62">
        <f>B59*D32</f>
        <v>0</v>
      </c>
      <c r="F59" s="41">
        <f t="shared" si="8"/>
        <v>0</v>
      </c>
    </row>
    <row r="60" spans="1:20" x14ac:dyDescent="0.3">
      <c r="A60" s="179" t="s">
        <v>322</v>
      </c>
      <c r="B60" s="54">
        <v>4.5449999999999999</v>
      </c>
      <c r="C60" s="63">
        <f>B33-D33</f>
        <v>0</v>
      </c>
      <c r="D60" s="61">
        <f>B60*B33</f>
        <v>0</v>
      </c>
      <c r="E60" s="62">
        <f>B60*D33</f>
        <v>0</v>
      </c>
      <c r="F60" s="41">
        <f t="shared" si="8"/>
        <v>0</v>
      </c>
    </row>
    <row r="61" spans="1:20" x14ac:dyDescent="0.3">
      <c r="A61" s="179" t="s">
        <v>282</v>
      </c>
      <c r="B61" s="54">
        <v>3.2850000000000001</v>
      </c>
      <c r="C61" s="63">
        <f>B34-D34</f>
        <v>0</v>
      </c>
      <c r="D61" s="61">
        <f>B61*B34</f>
        <v>0</v>
      </c>
      <c r="E61" s="62">
        <f>B61*D34</f>
        <v>0</v>
      </c>
      <c r="F61" s="41">
        <f t="shared" si="8"/>
        <v>0</v>
      </c>
    </row>
    <row r="62" spans="1:20" x14ac:dyDescent="0.3">
      <c r="A62" s="179" t="s">
        <v>323</v>
      </c>
      <c r="B62" s="54">
        <v>2.6960000000000002</v>
      </c>
      <c r="C62" s="63">
        <f>B35-D35</f>
        <v>0</v>
      </c>
      <c r="D62" s="61">
        <f>B62*B35</f>
        <v>0</v>
      </c>
      <c r="E62" s="62">
        <f>B62*D35</f>
        <v>0</v>
      </c>
      <c r="F62" s="41">
        <f t="shared" si="8"/>
        <v>0</v>
      </c>
    </row>
    <row r="63" spans="1:20" x14ac:dyDescent="0.3">
      <c r="B63" s="217"/>
      <c r="C63" s="113"/>
      <c r="D63" s="59"/>
      <c r="E63" s="60"/>
      <c r="F63" s="113"/>
    </row>
    <row r="64" spans="1:20" x14ac:dyDescent="0.3">
      <c r="B64" s="217"/>
      <c r="C64" s="113"/>
      <c r="D64" s="59"/>
      <c r="E64" s="60"/>
      <c r="F64" s="113"/>
    </row>
    <row r="65" spans="1:20" ht="28.8" x14ac:dyDescent="0.3">
      <c r="A65" s="218" t="s">
        <v>288</v>
      </c>
      <c r="B65" s="57"/>
      <c r="C65" s="219">
        <f>B36-D36</f>
        <v>0</v>
      </c>
      <c r="D65" s="64">
        <f>B65*B36</f>
        <v>0</v>
      </c>
      <c r="E65" s="65">
        <f>B65*D36</f>
        <v>0</v>
      </c>
      <c r="F65" s="42">
        <f t="shared" si="8"/>
        <v>0</v>
      </c>
    </row>
    <row r="67" spans="1:20" ht="21" x14ac:dyDescent="0.4">
      <c r="B67" s="38"/>
      <c r="D67" s="211">
        <f>SUM(D50:D65)</f>
        <v>0</v>
      </c>
      <c r="E67" s="211">
        <f>SUM(E50:E65)</f>
        <v>0</v>
      </c>
      <c r="F67" s="36">
        <f>SUM(F50:F65)</f>
        <v>0</v>
      </c>
      <c r="G67" s="212" t="s">
        <v>304</v>
      </c>
    </row>
    <row r="68" spans="1:20" ht="21" x14ac:dyDescent="0.4">
      <c r="F68" s="37">
        <f>T53</f>
        <v>0</v>
      </c>
      <c r="G68" s="212" t="s">
        <v>305</v>
      </c>
    </row>
    <row r="72" spans="1:20" ht="21" x14ac:dyDescent="0.4">
      <c r="A72" s="220" t="s">
        <v>219</v>
      </c>
      <c r="B72" s="183"/>
      <c r="C72" s="183"/>
      <c r="D72" s="183"/>
      <c r="E72" s="183"/>
      <c r="F72" s="183"/>
      <c r="G72" s="183"/>
      <c r="H72" s="183"/>
      <c r="I72" s="183"/>
      <c r="J72" s="183"/>
      <c r="K72" s="183"/>
      <c r="L72" s="183"/>
      <c r="M72" s="183"/>
      <c r="N72" s="183"/>
      <c r="O72" s="183"/>
      <c r="P72" s="183"/>
      <c r="Q72" s="183"/>
      <c r="R72" s="183"/>
      <c r="S72" s="183"/>
      <c r="T72" s="183"/>
    </row>
    <row r="73" spans="1:20" ht="18" x14ac:dyDescent="0.35">
      <c r="A73" s="88" t="s">
        <v>352</v>
      </c>
      <c r="B73" s="221"/>
      <c r="D73" s="84">
        <v>0</v>
      </c>
      <c r="E73" s="222" t="s">
        <v>345</v>
      </c>
      <c r="G73" s="221"/>
    </row>
    <row r="74" spans="1:20" ht="18" x14ac:dyDescent="0.3">
      <c r="B74" s="222"/>
      <c r="C74" s="222"/>
      <c r="D74" s="84">
        <v>0</v>
      </c>
      <c r="E74" s="222" t="s">
        <v>346</v>
      </c>
      <c r="G74" s="222"/>
    </row>
    <row r="76" spans="1:20" x14ac:dyDescent="0.3">
      <c r="A76" t="s">
        <v>220</v>
      </c>
      <c r="D76" s="22" t="s">
        <v>211</v>
      </c>
      <c r="I76" s="222"/>
    </row>
    <row r="77" spans="1:20" x14ac:dyDescent="0.3">
      <c r="A77" t="s">
        <v>213</v>
      </c>
      <c r="D77" s="22" t="s">
        <v>212</v>
      </c>
      <c r="I77" s="222"/>
    </row>
    <row r="78" spans="1:20" x14ac:dyDescent="0.3">
      <c r="A78" t="s">
        <v>215</v>
      </c>
      <c r="D78" s="22" t="s">
        <v>214</v>
      </c>
    </row>
  </sheetData>
  <mergeCells count="10">
    <mergeCell ref="B22:C22"/>
    <mergeCell ref="D22:E22"/>
    <mergeCell ref="A2:H3"/>
    <mergeCell ref="A12:F12"/>
    <mergeCell ref="A13:F13"/>
    <mergeCell ref="A14:F14"/>
    <mergeCell ref="A15:F15"/>
    <mergeCell ref="A16:F16"/>
    <mergeCell ref="A5:H8"/>
    <mergeCell ref="A4:H4"/>
  </mergeCells>
  <hyperlinks>
    <hyperlink ref="D76" r:id="rId1" xr:uid="{21C5E177-0E1E-404D-8FE6-61CA9E1663A2}"/>
    <hyperlink ref="D77" r:id="rId2" xr:uid="{E5FDB2E6-D4FD-422C-A703-1164BF5BC9B4}"/>
    <hyperlink ref="D78" r:id="rId3" xr:uid="{B1763D01-D5FD-4025-9257-913B1DAE218B}"/>
    <hyperlink ref="A10" r:id="rId4" xr:uid="{7FF274B5-34AD-4FEF-B708-B584EE5D8F64}"/>
  </hyperlinks>
  <pageMargins left="0.7" right="0.7" top="0.75" bottom="0.75" header="0.3" footer="0.3"/>
  <pageSetup orientation="portrait" r:id="rId5"/>
  <drawing r:id="rId6"/>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9AEF-B631-40BD-89F3-46CC23748BCD}">
  <sheetPr>
    <tabColor rgb="FFCCCCFF"/>
  </sheetPr>
  <dimension ref="A1:W156"/>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5.6" x14ac:dyDescent="0.3"/>
  <cols>
    <col min="1" max="1" width="40" style="2" bestFit="1" customWidth="1"/>
    <col min="2" max="3" width="10.33203125" style="2" customWidth="1"/>
    <col min="4" max="4" width="9.5546875" style="2" bestFit="1" customWidth="1"/>
    <col min="5" max="12" width="11.44140625" style="2" bestFit="1" customWidth="1"/>
    <col min="13" max="13" width="12" style="2" bestFit="1" customWidth="1"/>
    <col min="14" max="14" width="10.88671875" style="2" customWidth="1"/>
    <col min="15" max="17" width="16.33203125" style="2" customWidth="1"/>
    <col min="18" max="18" width="16.33203125" style="263" customWidth="1"/>
    <col min="19" max="23" width="16.33203125" style="2" customWidth="1"/>
    <col min="24" max="24" width="19.33203125" style="2" customWidth="1"/>
    <col min="25" max="16384" width="8.88671875" style="2"/>
  </cols>
  <sheetData>
    <row r="1" spans="1:23" x14ac:dyDescent="0.3">
      <c r="A1" s="255" t="s">
        <v>410</v>
      </c>
      <c r="C1" s="241"/>
      <c r="D1" s="241"/>
      <c r="E1" s="240"/>
      <c r="F1" s="241"/>
      <c r="G1" s="241"/>
      <c r="H1" s="241"/>
      <c r="I1" s="241"/>
      <c r="J1" s="240"/>
      <c r="K1" s="240"/>
    </row>
    <row r="2" spans="1:23" ht="46.8" x14ac:dyDescent="0.3">
      <c r="A2" s="242" t="s">
        <v>49</v>
      </c>
      <c r="B2" s="243">
        <v>2005</v>
      </c>
      <c r="C2" s="244">
        <v>2010</v>
      </c>
      <c r="D2" s="244">
        <v>2011</v>
      </c>
      <c r="E2" s="244">
        <v>2012</v>
      </c>
      <c r="F2" s="244">
        <v>2013</v>
      </c>
      <c r="G2" s="244">
        <v>2014</v>
      </c>
      <c r="H2" s="244">
        <v>2015</v>
      </c>
      <c r="I2" s="244">
        <v>2016</v>
      </c>
      <c r="J2" s="243">
        <v>2017</v>
      </c>
      <c r="K2" s="243">
        <v>2018</v>
      </c>
      <c r="L2" s="243">
        <v>2019</v>
      </c>
      <c r="M2" s="243">
        <v>2020</v>
      </c>
      <c r="N2" s="243">
        <v>2021</v>
      </c>
      <c r="O2" s="245" t="s">
        <v>438</v>
      </c>
      <c r="P2" s="244" t="s">
        <v>442</v>
      </c>
      <c r="Q2" s="260" t="s">
        <v>439</v>
      </c>
      <c r="R2" s="244" t="s">
        <v>436</v>
      </c>
      <c r="S2" s="244" t="s">
        <v>435</v>
      </c>
      <c r="T2" s="261" t="s">
        <v>440</v>
      </c>
      <c r="U2" s="244" t="s">
        <v>411</v>
      </c>
      <c r="V2" s="262" t="s">
        <v>441</v>
      </c>
      <c r="W2" s="244" t="s">
        <v>412</v>
      </c>
    </row>
    <row r="3" spans="1:23" x14ac:dyDescent="0.3">
      <c r="A3" s="2" t="s">
        <v>417</v>
      </c>
      <c r="B3" s="246">
        <v>21303</v>
      </c>
      <c r="C3" s="247">
        <v>20010</v>
      </c>
      <c r="D3" s="253">
        <v>20010</v>
      </c>
      <c r="E3" s="253">
        <v>20010</v>
      </c>
      <c r="F3" s="247">
        <v>22171</v>
      </c>
      <c r="G3" s="247">
        <v>21993</v>
      </c>
      <c r="H3" s="247">
        <v>21106</v>
      </c>
      <c r="I3" s="253">
        <v>24960</v>
      </c>
      <c r="J3" s="254">
        <v>24960</v>
      </c>
      <c r="K3" s="248">
        <v>24035</v>
      </c>
      <c r="L3" s="248">
        <v>23779</v>
      </c>
      <c r="M3" s="248">
        <v>19337.742564185341</v>
      </c>
      <c r="N3" s="248">
        <v>21082.166688497546</v>
      </c>
      <c r="O3" s="249">
        <v>18107.55</v>
      </c>
      <c r="P3" s="266">
        <v>2974.6166884975464</v>
      </c>
      <c r="Q3" s="250">
        <v>11716.65</v>
      </c>
      <c r="R3" s="264">
        <v>0.79940222595396293</v>
      </c>
      <c r="S3" s="266">
        <v>9365.5166884975461</v>
      </c>
      <c r="T3" s="251">
        <v>5325.75</v>
      </c>
      <c r="U3" s="266">
        <v>15756.416688497546</v>
      </c>
      <c r="V3" s="252">
        <v>1065.1500000000015</v>
      </c>
      <c r="W3" s="266">
        <v>20017.016688497544</v>
      </c>
    </row>
    <row r="4" spans="1:23" x14ac:dyDescent="0.3">
      <c r="A4" s="3" t="s">
        <v>433</v>
      </c>
      <c r="B4" s="246">
        <v>1800</v>
      </c>
      <c r="C4" s="247">
        <v>1800</v>
      </c>
      <c r="D4" s="247">
        <v>1800</v>
      </c>
      <c r="E4" s="247">
        <v>1739</v>
      </c>
      <c r="F4" s="247">
        <v>1649</v>
      </c>
      <c r="G4" s="247">
        <v>1960</v>
      </c>
      <c r="H4" s="247">
        <v>2324</v>
      </c>
      <c r="I4" s="247">
        <v>2388</v>
      </c>
      <c r="J4" s="248">
        <v>1868</v>
      </c>
      <c r="K4" s="248">
        <v>1957</v>
      </c>
      <c r="L4" s="248">
        <v>1760</v>
      </c>
      <c r="M4" s="248">
        <v>1472.3409305633422</v>
      </c>
      <c r="N4" s="258">
        <v>1707.4915091637934</v>
      </c>
      <c r="O4" s="249">
        <v>1530</v>
      </c>
      <c r="P4" s="266">
        <v>-57.659069436657774</v>
      </c>
      <c r="Q4" s="250">
        <v>990</v>
      </c>
      <c r="R4" s="264">
        <v>0.72547169784003374</v>
      </c>
      <c r="S4" s="266">
        <v>717.49150916379335</v>
      </c>
      <c r="T4" s="251">
        <v>450</v>
      </c>
      <c r="U4" s="266">
        <v>2.2769285758649049</v>
      </c>
      <c r="V4" s="252">
        <v>90</v>
      </c>
      <c r="W4" s="266"/>
    </row>
    <row r="5" spans="1:23" x14ac:dyDescent="0.3">
      <c r="A5" s="3" t="s">
        <v>434</v>
      </c>
      <c r="B5" s="246"/>
      <c r="C5" s="253"/>
      <c r="D5" s="253"/>
      <c r="E5" s="247"/>
      <c r="F5" s="247">
        <v>505.9</v>
      </c>
      <c r="G5" s="247">
        <v>482.5</v>
      </c>
      <c r="H5" s="247">
        <v>425.4</v>
      </c>
      <c r="I5" s="247"/>
      <c r="J5" s="248"/>
      <c r="K5" s="248"/>
      <c r="L5" s="248">
        <v>373</v>
      </c>
      <c r="M5" s="248">
        <v>1439.6921938422461</v>
      </c>
      <c r="N5" s="258">
        <v>267.10839571513236</v>
      </c>
      <c r="O5" s="249">
        <v>0</v>
      </c>
      <c r="P5" s="266">
        <v>1439.6921938422461</v>
      </c>
      <c r="Q5" s="250"/>
      <c r="R5" s="264"/>
      <c r="S5" s="266"/>
      <c r="T5" s="251"/>
      <c r="U5" s="266"/>
      <c r="V5" s="252"/>
      <c r="W5" s="266"/>
    </row>
    <row r="6" spans="1:23" x14ac:dyDescent="0.3">
      <c r="A6" s="2" t="s">
        <v>413</v>
      </c>
      <c r="B6" s="246">
        <v>90279</v>
      </c>
      <c r="C6" s="247">
        <v>77409</v>
      </c>
      <c r="D6" s="247">
        <v>71956</v>
      </c>
      <c r="E6" s="247">
        <v>69772</v>
      </c>
      <c r="F6" s="247">
        <v>75266</v>
      </c>
      <c r="G6" s="247">
        <v>78200</v>
      </c>
      <c r="H6" s="247">
        <v>71768</v>
      </c>
      <c r="I6" s="247">
        <v>71736</v>
      </c>
      <c r="J6" s="248">
        <v>71895</v>
      </c>
      <c r="K6" s="248">
        <v>71933</v>
      </c>
      <c r="L6" s="248">
        <v>63146</v>
      </c>
      <c r="M6" s="248">
        <v>44998.656665713439</v>
      </c>
      <c r="N6" s="248">
        <v>49573.826333768993</v>
      </c>
      <c r="O6" s="249">
        <v>76737.149999999994</v>
      </c>
      <c r="P6" s="266">
        <v>-27163.323666231001</v>
      </c>
      <c r="Q6" s="250">
        <v>49653.45</v>
      </c>
      <c r="R6" s="265">
        <v>-1.603620087850728E-3</v>
      </c>
      <c r="S6" s="266">
        <v>-79.623666231003881</v>
      </c>
      <c r="T6" s="251">
        <v>22569.75</v>
      </c>
      <c r="U6" s="266">
        <v>27004.076333768993</v>
      </c>
      <c r="V6" s="252">
        <v>4513.9499999999971</v>
      </c>
      <c r="W6" s="266">
        <v>45059.876333768996</v>
      </c>
    </row>
    <row r="7" spans="1:23" x14ac:dyDescent="0.3">
      <c r="A7" s="3" t="s">
        <v>432</v>
      </c>
      <c r="B7" s="246">
        <v>4677</v>
      </c>
      <c r="C7" s="247">
        <v>4542</v>
      </c>
      <c r="D7" s="247">
        <v>4016</v>
      </c>
      <c r="E7" s="247">
        <v>3710</v>
      </c>
      <c r="F7" s="247"/>
      <c r="G7" s="247">
        <v>3371</v>
      </c>
      <c r="H7" s="247">
        <v>3344</v>
      </c>
      <c r="I7" s="247">
        <v>3543</v>
      </c>
      <c r="J7" s="248">
        <v>3416</v>
      </c>
      <c r="K7" s="248">
        <v>2771</v>
      </c>
      <c r="L7" s="248">
        <v>2656</v>
      </c>
      <c r="M7" s="248">
        <v>1849.9072264141655</v>
      </c>
      <c r="N7" s="248">
        <v>2388.0188990384213</v>
      </c>
      <c r="O7" s="249">
        <v>3975.45</v>
      </c>
      <c r="P7" s="266">
        <v>-1587.4311009615785</v>
      </c>
      <c r="Q7" s="250">
        <v>2572.35</v>
      </c>
      <c r="R7" s="264">
        <v>-7.1686507461675236E-2</v>
      </c>
      <c r="S7" s="266">
        <v>-184.33110096157861</v>
      </c>
      <c r="T7" s="251">
        <v>1169.25</v>
      </c>
      <c r="U7" s="266">
        <v>1218.7688990384213</v>
      </c>
      <c r="V7" s="252">
        <v>233.85000000000036</v>
      </c>
      <c r="W7" s="266">
        <v>2154.1688990384209</v>
      </c>
    </row>
    <row r="8" spans="1:23" x14ac:dyDescent="0.3">
      <c r="A8" s="2" t="s">
        <v>416</v>
      </c>
      <c r="B8" s="246">
        <v>22946</v>
      </c>
      <c r="C8" s="247">
        <v>21097</v>
      </c>
      <c r="D8" s="247">
        <v>24978</v>
      </c>
      <c r="E8" s="253">
        <v>24978</v>
      </c>
      <c r="F8" s="247">
        <v>21429</v>
      </c>
      <c r="G8" s="247">
        <v>21429</v>
      </c>
      <c r="H8" s="247">
        <v>19925</v>
      </c>
      <c r="I8" s="247">
        <v>17386</v>
      </c>
      <c r="J8" s="248">
        <v>17843</v>
      </c>
      <c r="K8" s="248">
        <v>13300</v>
      </c>
      <c r="L8" s="248">
        <v>14441</v>
      </c>
      <c r="M8" s="248">
        <v>13408.746123290857</v>
      </c>
      <c r="N8" s="248">
        <v>6287.9622454081837</v>
      </c>
      <c r="O8" s="249">
        <v>19504.099999999999</v>
      </c>
      <c r="P8" s="266">
        <v>-13216.137754591815</v>
      </c>
      <c r="Q8" s="250">
        <v>12620.3</v>
      </c>
      <c r="R8" s="264">
        <v>-0.50179786157645956</v>
      </c>
      <c r="S8" s="266">
        <v>-6332.3377545918156</v>
      </c>
      <c r="T8" s="251">
        <v>5736.5</v>
      </c>
      <c r="U8" s="266">
        <v>551.46224540818366</v>
      </c>
      <c r="V8" s="252">
        <v>1147.2999999999993</v>
      </c>
      <c r="W8" s="266">
        <v>5140.6622454081844</v>
      </c>
    </row>
    <row r="9" spans="1:23" x14ac:dyDescent="0.3">
      <c r="A9" s="2" t="s">
        <v>419</v>
      </c>
      <c r="B9" s="246">
        <v>14964</v>
      </c>
      <c r="C9" s="247">
        <v>12634</v>
      </c>
      <c r="D9" s="247">
        <v>10463</v>
      </c>
      <c r="E9" s="247">
        <v>11136</v>
      </c>
      <c r="F9" s="247">
        <v>12570</v>
      </c>
      <c r="G9" s="247" t="s">
        <v>420</v>
      </c>
      <c r="H9" s="247" t="s">
        <v>421</v>
      </c>
      <c r="I9" s="247" t="s">
        <v>422</v>
      </c>
      <c r="J9" s="248">
        <v>9223</v>
      </c>
      <c r="K9" s="248">
        <v>9440</v>
      </c>
      <c r="L9" s="248">
        <v>9211</v>
      </c>
      <c r="M9" s="248">
        <v>8110.076444200864</v>
      </c>
      <c r="N9" s="248">
        <v>12837.519307028106</v>
      </c>
      <c r="O9" s="249">
        <v>12719.4</v>
      </c>
      <c r="P9" s="266">
        <v>118.11930702810605</v>
      </c>
      <c r="Q9" s="250">
        <v>8230.2000000000007</v>
      </c>
      <c r="R9" s="264">
        <v>0.55987450870413946</v>
      </c>
      <c r="S9" s="266">
        <v>4607.319307028105</v>
      </c>
      <c r="T9" s="251">
        <v>3741</v>
      </c>
      <c r="U9" s="266">
        <v>9096.5193070281057</v>
      </c>
      <c r="V9" s="252">
        <v>748.20000000000073</v>
      </c>
      <c r="W9" s="266">
        <v>12089.319307028105</v>
      </c>
    </row>
    <row r="10" spans="1:23" x14ac:dyDescent="0.3">
      <c r="A10" s="3" t="s">
        <v>428</v>
      </c>
      <c r="B10" s="246">
        <v>8131</v>
      </c>
      <c r="C10" s="253">
        <v>8131</v>
      </c>
      <c r="D10" s="253">
        <v>8131</v>
      </c>
      <c r="E10" s="253">
        <v>8131</v>
      </c>
      <c r="F10" s="247"/>
      <c r="G10" s="247"/>
      <c r="H10" s="247">
        <v>6239</v>
      </c>
      <c r="I10" s="247">
        <v>5696</v>
      </c>
      <c r="J10" s="248">
        <v>6385</v>
      </c>
      <c r="K10" s="248">
        <v>5582</v>
      </c>
      <c r="L10" s="248">
        <v>5658</v>
      </c>
      <c r="M10" s="248">
        <v>5454.399389326969</v>
      </c>
      <c r="N10" s="248">
        <v>5400.9101366430314</v>
      </c>
      <c r="O10" s="249">
        <v>6911.35</v>
      </c>
      <c r="P10" s="266">
        <v>-1510.439863356969</v>
      </c>
      <c r="Q10" s="250">
        <v>4472.0499999999993</v>
      </c>
      <c r="R10" s="264">
        <v>0.2077498879777753</v>
      </c>
      <c r="S10" s="266">
        <v>928.86013664303209</v>
      </c>
      <c r="T10" s="251">
        <v>2032.75</v>
      </c>
      <c r="U10" s="266">
        <v>3368.1601366430314</v>
      </c>
      <c r="V10" s="252">
        <v>406.55000000000018</v>
      </c>
      <c r="W10" s="266">
        <v>4994.3601366430312</v>
      </c>
    </row>
    <row r="11" spans="1:23" x14ac:dyDescent="0.3">
      <c r="A11" s="2" t="s">
        <v>423</v>
      </c>
      <c r="B11" s="246">
        <v>10518</v>
      </c>
      <c r="C11" s="247">
        <v>9544</v>
      </c>
      <c r="D11" s="247">
        <v>8911</v>
      </c>
      <c r="E11" s="247">
        <v>10833</v>
      </c>
      <c r="F11" s="247">
        <v>10057</v>
      </c>
      <c r="G11" s="247">
        <v>10249</v>
      </c>
      <c r="H11" s="247">
        <v>9987</v>
      </c>
      <c r="I11" s="247">
        <v>10180</v>
      </c>
      <c r="J11" s="248">
        <v>9958</v>
      </c>
      <c r="K11" s="248">
        <v>9878</v>
      </c>
      <c r="L11" s="248">
        <v>10086</v>
      </c>
      <c r="M11" s="248">
        <v>9335.8281637646996</v>
      </c>
      <c r="N11" s="248">
        <v>11424.763375627936</v>
      </c>
      <c r="O11" s="249">
        <v>8940.2999999999993</v>
      </c>
      <c r="P11" s="266">
        <v>2484.4633756279363</v>
      </c>
      <c r="Q11" s="250">
        <v>5784.9</v>
      </c>
      <c r="R11" s="264">
        <v>0.97509697187502142</v>
      </c>
      <c r="S11" s="266">
        <v>5639.863375627936</v>
      </c>
      <c r="T11" s="251">
        <v>2629.5</v>
      </c>
      <c r="U11" s="266">
        <v>8795.2633756279356</v>
      </c>
      <c r="V11" s="252">
        <v>525.89999999999964</v>
      </c>
      <c r="W11" s="266">
        <v>10898.863375627936</v>
      </c>
    </row>
    <row r="12" spans="1:23" x14ac:dyDescent="0.3">
      <c r="A12" s="2" t="s">
        <v>414</v>
      </c>
      <c r="B12" s="246">
        <v>54833</v>
      </c>
      <c r="C12" s="247">
        <v>53644</v>
      </c>
      <c r="D12" s="253">
        <v>53544</v>
      </c>
      <c r="E12" s="253">
        <v>53544</v>
      </c>
      <c r="F12" s="247">
        <v>47210</v>
      </c>
      <c r="G12" s="247">
        <v>46965</v>
      </c>
      <c r="H12" s="247">
        <v>38108</v>
      </c>
      <c r="I12" s="247">
        <v>38723</v>
      </c>
      <c r="J12" s="248">
        <v>40217</v>
      </c>
      <c r="K12" s="248">
        <v>39214</v>
      </c>
      <c r="L12" s="248">
        <v>36032</v>
      </c>
      <c r="M12" s="248">
        <v>34437.384491729521</v>
      </c>
      <c r="N12" s="248">
        <v>17552.793156581298</v>
      </c>
      <c r="O12" s="249">
        <v>46608.05</v>
      </c>
      <c r="P12" s="266">
        <v>-29055.256843418705</v>
      </c>
      <c r="Q12" s="250">
        <v>30158.149999999998</v>
      </c>
      <c r="R12" s="264">
        <v>-0.41798899575784521</v>
      </c>
      <c r="S12" s="266">
        <v>-12605.3568434187</v>
      </c>
      <c r="T12" s="251">
        <v>13708.25</v>
      </c>
      <c r="U12" s="266">
        <v>3844.5431565812978</v>
      </c>
      <c r="V12" s="252">
        <v>2741.6500000000015</v>
      </c>
      <c r="W12" s="266">
        <v>14811.143156581296</v>
      </c>
    </row>
    <row r="13" spans="1:23" x14ac:dyDescent="0.3">
      <c r="A13" s="3" t="s">
        <v>430</v>
      </c>
      <c r="B13" s="246">
        <v>5265</v>
      </c>
      <c r="C13" s="247">
        <v>5169</v>
      </c>
      <c r="D13" s="247">
        <v>5550</v>
      </c>
      <c r="E13" s="253"/>
      <c r="F13" s="253"/>
      <c r="G13" s="253"/>
      <c r="H13" s="253"/>
      <c r="I13" s="247"/>
      <c r="J13" s="254"/>
      <c r="K13" s="248"/>
      <c r="L13" s="248"/>
      <c r="M13" s="2" t="s">
        <v>2</v>
      </c>
      <c r="N13" s="248">
        <v>15028.984073815691</v>
      </c>
      <c r="O13" s="249">
        <v>4475.25</v>
      </c>
      <c r="P13" s="266">
        <v>10553.734073815691</v>
      </c>
      <c r="Q13" s="250">
        <v>2895.75</v>
      </c>
      <c r="R13" s="264"/>
      <c r="S13" s="266">
        <v>12133.234073815691</v>
      </c>
      <c r="T13" s="251">
        <v>1316.25</v>
      </c>
      <c r="U13" s="266">
        <v>13712.734073815691</v>
      </c>
      <c r="V13" s="252">
        <v>263.25</v>
      </c>
      <c r="W13" s="266">
        <v>14765.734073815691</v>
      </c>
    </row>
    <row r="14" spans="1:23" x14ac:dyDescent="0.3">
      <c r="A14" s="2" t="s">
        <v>437</v>
      </c>
      <c r="B14" s="246">
        <v>241893</v>
      </c>
      <c r="C14" s="247">
        <v>247977</v>
      </c>
      <c r="D14" s="247">
        <v>237191</v>
      </c>
      <c r="E14" s="247">
        <v>236565</v>
      </c>
      <c r="F14" s="247">
        <v>234910</v>
      </c>
      <c r="G14" s="247">
        <v>235046</v>
      </c>
      <c r="H14" s="247">
        <v>233882</v>
      </c>
      <c r="I14" s="247">
        <v>249659</v>
      </c>
      <c r="J14" s="248">
        <v>250958</v>
      </c>
      <c r="K14" s="248">
        <v>243718</v>
      </c>
      <c r="L14" s="248">
        <v>246383</v>
      </c>
      <c r="M14" s="248">
        <v>193869.20902967325</v>
      </c>
      <c r="N14" s="248">
        <v>202297.94965748902</v>
      </c>
      <c r="O14" s="249">
        <v>205609.05</v>
      </c>
      <c r="P14" s="266">
        <v>-3311.1003425109666</v>
      </c>
      <c r="Q14" s="250">
        <v>133041.15</v>
      </c>
      <c r="R14" s="264">
        <v>0.52057066725713275</v>
      </c>
      <c r="S14" s="266">
        <v>69256.799657489028</v>
      </c>
      <c r="T14" s="251">
        <v>60473.25</v>
      </c>
      <c r="U14" s="266">
        <v>141824.69965748902</v>
      </c>
      <c r="V14" s="252">
        <v>12094.650000000023</v>
      </c>
      <c r="W14" s="266">
        <v>190203.299657489</v>
      </c>
    </row>
    <row r="15" spans="1:23" x14ac:dyDescent="0.3">
      <c r="A15" s="2" t="s">
        <v>418</v>
      </c>
      <c r="B15" s="246">
        <v>20841</v>
      </c>
      <c r="C15" s="253">
        <v>20841</v>
      </c>
      <c r="D15" s="253">
        <v>20841</v>
      </c>
      <c r="E15" s="253">
        <v>20841</v>
      </c>
      <c r="F15" s="253">
        <v>20841</v>
      </c>
      <c r="G15" s="247">
        <v>23123</v>
      </c>
      <c r="H15" s="253">
        <v>23123</v>
      </c>
      <c r="I15" s="247">
        <v>26310</v>
      </c>
      <c r="J15" s="248">
        <v>21006</v>
      </c>
      <c r="K15" s="248">
        <v>20137</v>
      </c>
      <c r="L15" s="248">
        <v>18775</v>
      </c>
      <c r="M15" s="248">
        <v>18925.004862700967</v>
      </c>
      <c r="N15" s="248">
        <v>20771.704600247704</v>
      </c>
      <c r="O15" s="249">
        <v>17714.849999999999</v>
      </c>
      <c r="P15" s="266">
        <v>3056.8546002477051</v>
      </c>
      <c r="Q15" s="250">
        <v>11462.55</v>
      </c>
      <c r="R15" s="264">
        <v>0.8122073018263416</v>
      </c>
      <c r="S15" s="266">
        <v>9309.1546002477044</v>
      </c>
      <c r="T15" s="251">
        <v>5210.25</v>
      </c>
      <c r="U15" s="266">
        <v>15561.454600247704</v>
      </c>
      <c r="V15" s="252">
        <v>1042.0499999999993</v>
      </c>
      <c r="W15" s="266">
        <v>19729.654600247704</v>
      </c>
    </row>
    <row r="16" spans="1:23" x14ac:dyDescent="0.3">
      <c r="A16" s="3" t="s">
        <v>425</v>
      </c>
      <c r="B16" s="246">
        <v>9454</v>
      </c>
      <c r="C16" s="247">
        <v>8356</v>
      </c>
      <c r="D16" s="247">
        <v>8407</v>
      </c>
      <c r="E16" s="253">
        <v>8407</v>
      </c>
      <c r="F16" s="247">
        <v>7947</v>
      </c>
      <c r="G16" s="253">
        <v>7947</v>
      </c>
      <c r="H16" s="247">
        <v>7305</v>
      </c>
      <c r="I16" s="247">
        <v>4855</v>
      </c>
      <c r="J16" s="248">
        <v>5326</v>
      </c>
      <c r="K16" s="248">
        <v>5069</v>
      </c>
      <c r="L16" s="248">
        <v>5017</v>
      </c>
      <c r="M16" s="248">
        <v>3777.1436139797906</v>
      </c>
      <c r="N16" s="248">
        <v>6353.8685562222263</v>
      </c>
      <c r="O16" s="249">
        <v>8035.9</v>
      </c>
      <c r="P16" s="266">
        <v>-1682.0314437777733</v>
      </c>
      <c r="Q16" s="250">
        <v>5199.7</v>
      </c>
      <c r="R16" s="264">
        <v>0.22201099432977986</v>
      </c>
      <c r="S16" s="266">
        <v>1154.1685562222265</v>
      </c>
      <c r="T16" s="251">
        <v>2363.5</v>
      </c>
      <c r="U16" s="266">
        <v>3990.3685562222263</v>
      </c>
      <c r="V16" s="252">
        <v>472.70000000000073</v>
      </c>
      <c r="W16" s="266">
        <v>5881.1685562222256</v>
      </c>
    </row>
    <row r="17" spans="1:23" x14ac:dyDescent="0.3">
      <c r="A17" s="3" t="s">
        <v>429</v>
      </c>
      <c r="B17" s="246">
        <v>5402</v>
      </c>
      <c r="C17" s="247">
        <v>5378</v>
      </c>
      <c r="D17" s="247">
        <v>4049</v>
      </c>
      <c r="E17" s="247">
        <v>3978</v>
      </c>
      <c r="F17" s="247">
        <v>2402</v>
      </c>
      <c r="G17" s="247">
        <v>4678</v>
      </c>
      <c r="H17" s="247">
        <v>4437</v>
      </c>
      <c r="I17" s="247">
        <v>5436</v>
      </c>
      <c r="J17" s="248">
        <v>5070</v>
      </c>
      <c r="K17" s="248">
        <v>4775</v>
      </c>
      <c r="L17" s="248">
        <v>4377</v>
      </c>
      <c r="M17" s="248">
        <v>3645.7852405181175</v>
      </c>
      <c r="N17" s="248">
        <v>4125.8358380676846</v>
      </c>
      <c r="O17" s="249">
        <v>4591.7</v>
      </c>
      <c r="P17" s="266">
        <v>-465.86416193231526</v>
      </c>
      <c r="Q17" s="250">
        <v>2971.1</v>
      </c>
      <c r="R17" s="264">
        <v>0.38878685501083621</v>
      </c>
      <c r="S17" s="266">
        <v>1154.7358380676847</v>
      </c>
      <c r="T17" s="251">
        <v>1350.5</v>
      </c>
      <c r="U17" s="266">
        <v>2775.3358380676846</v>
      </c>
      <c r="V17" s="252">
        <v>270.10000000000036</v>
      </c>
      <c r="W17" s="266">
        <v>3855.7358380676842</v>
      </c>
    </row>
    <row r="18" spans="1:23" x14ac:dyDescent="0.3">
      <c r="A18" s="3" t="s">
        <v>431</v>
      </c>
      <c r="B18" s="246">
        <v>4842</v>
      </c>
      <c r="C18" s="247">
        <v>5211</v>
      </c>
      <c r="D18" s="247">
        <v>8907</v>
      </c>
      <c r="E18" s="247">
        <v>5349</v>
      </c>
      <c r="F18" s="247">
        <v>1144</v>
      </c>
      <c r="G18" s="247">
        <v>741</v>
      </c>
      <c r="H18" s="247">
        <v>955</v>
      </c>
      <c r="I18" s="247">
        <v>981</v>
      </c>
      <c r="J18" s="248">
        <v>1057</v>
      </c>
      <c r="K18" s="248">
        <v>972</v>
      </c>
      <c r="L18" s="248">
        <v>987</v>
      </c>
      <c r="M18" s="248">
        <v>532.00267362325349</v>
      </c>
      <c r="N18" s="248">
        <v>621.96238235353803</v>
      </c>
      <c r="O18" s="249">
        <v>4115.7</v>
      </c>
      <c r="P18" s="266">
        <v>-3493.7376176464618</v>
      </c>
      <c r="Q18" s="250">
        <v>2663.1</v>
      </c>
      <c r="R18" s="264">
        <v>-0.76673964826507712</v>
      </c>
      <c r="S18" s="266">
        <v>-2041.1376176464619</v>
      </c>
      <c r="T18" s="251">
        <v>1210.5</v>
      </c>
      <c r="U18" s="266">
        <v>-588.53761764646197</v>
      </c>
      <c r="V18" s="252">
        <v>242.10000000000036</v>
      </c>
      <c r="W18" s="266">
        <v>379.86238235353767</v>
      </c>
    </row>
    <row r="19" spans="1:23" x14ac:dyDescent="0.3">
      <c r="A19" s="2" t="s">
        <v>160</v>
      </c>
      <c r="B19" s="246"/>
      <c r="C19" s="253"/>
      <c r="D19" s="253"/>
      <c r="E19" s="247"/>
      <c r="F19" s="247"/>
      <c r="G19" s="247"/>
      <c r="H19" s="247"/>
      <c r="I19" s="247"/>
      <c r="J19" s="248"/>
      <c r="K19" s="248"/>
      <c r="L19" s="248"/>
      <c r="M19" s="248">
        <v>108.34032504232746</v>
      </c>
      <c r="N19" s="258">
        <v>133.66293785374847</v>
      </c>
      <c r="O19" s="249">
        <v>0</v>
      </c>
      <c r="P19" s="266">
        <v>108.34032504232746</v>
      </c>
      <c r="Q19" s="250"/>
      <c r="R19" s="264"/>
      <c r="S19" s="266"/>
      <c r="T19" s="251"/>
      <c r="U19" s="266"/>
      <c r="V19" s="252"/>
      <c r="W19" s="266"/>
    </row>
    <row r="20" spans="1:23" x14ac:dyDescent="0.3">
      <c r="A20" s="3" t="s">
        <v>68</v>
      </c>
      <c r="N20" s="257">
        <v>0.5486341421009524</v>
      </c>
      <c r="O20" s="249"/>
      <c r="P20" s="267"/>
      <c r="Q20" s="250"/>
      <c r="R20" s="264"/>
      <c r="S20" s="267"/>
      <c r="T20" s="251"/>
      <c r="U20" s="267"/>
      <c r="V20" s="252"/>
      <c r="W20" s="267"/>
    </row>
    <row r="21" spans="1:23" x14ac:dyDescent="0.3">
      <c r="A21" s="3" t="s">
        <v>426</v>
      </c>
      <c r="B21" s="246">
        <v>9233</v>
      </c>
      <c r="C21" s="247">
        <v>11049</v>
      </c>
      <c r="D21" s="247">
        <v>9761</v>
      </c>
      <c r="E21" s="247">
        <v>9192</v>
      </c>
      <c r="F21" s="247">
        <v>9581</v>
      </c>
      <c r="G21" s="247">
        <v>9414</v>
      </c>
      <c r="H21" s="247">
        <v>8746</v>
      </c>
      <c r="I21" s="247">
        <v>3064</v>
      </c>
      <c r="J21" s="248">
        <v>3556</v>
      </c>
      <c r="K21" s="248">
        <v>4238</v>
      </c>
      <c r="L21" s="248">
        <v>3937</v>
      </c>
      <c r="M21" s="248">
        <v>6291</v>
      </c>
      <c r="N21" s="248">
        <v>6684.6529642885052</v>
      </c>
      <c r="O21" s="249">
        <v>7848.05</v>
      </c>
      <c r="P21" s="266">
        <v>-1163.3970357114949</v>
      </c>
      <c r="Q21" s="250">
        <v>5078.1499999999996</v>
      </c>
      <c r="R21" s="264">
        <v>0.31641825911948745</v>
      </c>
      <c r="S21" s="266">
        <v>1606.5029642885056</v>
      </c>
      <c r="T21" s="251">
        <v>2308.25</v>
      </c>
      <c r="U21" s="266">
        <v>4376.4029642885052</v>
      </c>
      <c r="V21" s="252">
        <v>461.64999999999964</v>
      </c>
      <c r="W21" s="266">
        <v>6223.0029642885056</v>
      </c>
    </row>
    <row r="22" spans="1:23" x14ac:dyDescent="0.3">
      <c r="A22" s="3" t="s">
        <v>424</v>
      </c>
      <c r="B22" s="246">
        <v>9599</v>
      </c>
      <c r="C22" s="253">
        <v>9599</v>
      </c>
      <c r="D22" s="253">
        <v>9599</v>
      </c>
      <c r="E22" s="253">
        <v>9599</v>
      </c>
      <c r="F22" s="247">
        <v>5511</v>
      </c>
      <c r="G22" s="247">
        <v>13215</v>
      </c>
      <c r="H22" s="253">
        <v>9478</v>
      </c>
      <c r="I22" s="247">
        <v>13216</v>
      </c>
      <c r="J22" s="248">
        <v>9478</v>
      </c>
      <c r="K22" s="248">
        <v>8828</v>
      </c>
      <c r="L22" s="248">
        <v>8575</v>
      </c>
      <c r="M22" s="248">
        <v>7922.1317217723654</v>
      </c>
      <c r="N22" s="248">
        <v>7996.520001273193</v>
      </c>
      <c r="O22" s="249">
        <v>8159.15</v>
      </c>
      <c r="P22" s="266">
        <v>-162.62999872680666</v>
      </c>
      <c r="Q22" s="250">
        <v>5279.45</v>
      </c>
      <c r="R22" s="264">
        <v>0.5147477007972403</v>
      </c>
      <c r="S22" s="266">
        <v>2717.0700012731932</v>
      </c>
      <c r="T22" s="251">
        <v>2399.75</v>
      </c>
      <c r="U22" s="266">
        <v>5596.770001273193</v>
      </c>
      <c r="V22" s="252">
        <v>479.95000000000073</v>
      </c>
      <c r="W22" s="266">
        <v>7516.5700012731922</v>
      </c>
    </row>
    <row r="23" spans="1:23" x14ac:dyDescent="0.3">
      <c r="A23" s="3" t="s">
        <v>427</v>
      </c>
      <c r="B23" s="246">
        <v>8802</v>
      </c>
      <c r="C23" s="247">
        <v>9473</v>
      </c>
      <c r="D23" s="247">
        <v>9489</v>
      </c>
      <c r="E23" s="247">
        <v>7343</v>
      </c>
      <c r="F23" s="247">
        <v>8216</v>
      </c>
      <c r="G23" s="247">
        <v>6105</v>
      </c>
      <c r="H23" s="247">
        <v>6837</v>
      </c>
      <c r="I23" s="247">
        <v>6851</v>
      </c>
      <c r="J23" s="248">
        <v>6794</v>
      </c>
      <c r="K23" s="248">
        <v>8323</v>
      </c>
      <c r="L23" s="248">
        <v>6267</v>
      </c>
      <c r="M23" s="248">
        <v>5787.8659682408843</v>
      </c>
      <c r="N23" s="248">
        <v>6787.9061696028157</v>
      </c>
      <c r="O23" s="249">
        <v>7481.7</v>
      </c>
      <c r="P23" s="266">
        <v>-693.79383039718414</v>
      </c>
      <c r="Q23" s="250">
        <v>4841.1000000000004</v>
      </c>
      <c r="R23" s="264">
        <v>0.40222436924915089</v>
      </c>
      <c r="S23" s="266">
        <v>1946.8061696028153</v>
      </c>
      <c r="T23" s="251">
        <v>2200.5</v>
      </c>
      <c r="U23" s="266">
        <v>4587.4061696028157</v>
      </c>
      <c r="V23" s="252">
        <v>440.10000000000036</v>
      </c>
      <c r="W23" s="266">
        <v>6347.8061696028153</v>
      </c>
    </row>
    <row r="24" spans="1:23" x14ac:dyDescent="0.3">
      <c r="A24" s="2" t="s">
        <v>131</v>
      </c>
      <c r="B24" s="246">
        <v>156861</v>
      </c>
      <c r="C24" s="247">
        <v>156965</v>
      </c>
      <c r="D24" s="247">
        <v>136477</v>
      </c>
      <c r="E24" s="247">
        <v>138342</v>
      </c>
      <c r="F24" s="247">
        <v>150766</v>
      </c>
      <c r="G24" s="247">
        <v>155913</v>
      </c>
      <c r="H24" s="247">
        <v>156518</v>
      </c>
      <c r="I24" s="247">
        <v>165267</v>
      </c>
      <c r="J24" s="248">
        <v>163853</v>
      </c>
      <c r="K24" s="248">
        <v>174106</v>
      </c>
      <c r="L24" s="248">
        <v>156563</v>
      </c>
      <c r="M24" s="248">
        <v>95667.451204995727</v>
      </c>
      <c r="N24" s="248">
        <v>99096.08623617643</v>
      </c>
      <c r="O24" s="249">
        <v>133331.85</v>
      </c>
      <c r="P24" s="266">
        <v>-34235.763763823576</v>
      </c>
      <c r="Q24" s="250">
        <v>86273.55</v>
      </c>
      <c r="R24" s="264">
        <v>0.14862822805372539</v>
      </c>
      <c r="S24" s="266">
        <v>12822.536236176427</v>
      </c>
      <c r="T24" s="251">
        <v>39215.25</v>
      </c>
      <c r="U24" s="266">
        <v>59880.83623617643</v>
      </c>
      <c r="V24" s="252">
        <v>7843.0500000000175</v>
      </c>
      <c r="W24" s="266">
        <v>91253.036236176413</v>
      </c>
    </row>
    <row r="25" spans="1:23" x14ac:dyDescent="0.3">
      <c r="A25" s="259" t="s">
        <v>415</v>
      </c>
      <c r="B25" s="246">
        <v>49781</v>
      </c>
      <c r="C25" s="253">
        <v>49781</v>
      </c>
      <c r="D25" s="247">
        <v>37267</v>
      </c>
      <c r="E25" s="247">
        <v>53721</v>
      </c>
      <c r="F25" s="247">
        <v>20695</v>
      </c>
      <c r="G25" s="247">
        <v>21652</v>
      </c>
      <c r="H25" s="247">
        <v>21739</v>
      </c>
      <c r="I25" s="247">
        <v>19863</v>
      </c>
      <c r="J25" s="248">
        <v>20390</v>
      </c>
      <c r="K25" s="248">
        <v>19691</v>
      </c>
      <c r="L25" s="248">
        <v>20476</v>
      </c>
      <c r="M25" s="248">
        <v>19268.465159206964</v>
      </c>
      <c r="N25" s="248">
        <v>19850.972778011095</v>
      </c>
      <c r="O25" s="249">
        <v>42313.85</v>
      </c>
      <c r="P25" s="266">
        <v>-22462.877221988903</v>
      </c>
      <c r="Q25" s="250">
        <v>27379.55</v>
      </c>
      <c r="R25" s="264">
        <v>-0.27498085990634652</v>
      </c>
      <c r="S25" s="266">
        <v>-7528.5772219889041</v>
      </c>
      <c r="T25" s="251">
        <v>12445.25</v>
      </c>
      <c r="U25" s="266">
        <v>7405.7227780110952</v>
      </c>
      <c r="V25" s="252">
        <v>2489.0500000000029</v>
      </c>
      <c r="W25" s="266">
        <v>17361.922778011092</v>
      </c>
    </row>
    <row r="26" spans="1:23" x14ac:dyDescent="0.3">
      <c r="A26" s="2" t="s">
        <v>133</v>
      </c>
      <c r="B26" s="246">
        <v>109873</v>
      </c>
      <c r="C26" s="247">
        <v>107047</v>
      </c>
      <c r="D26" s="247">
        <v>99594</v>
      </c>
      <c r="E26" s="247">
        <v>99087</v>
      </c>
      <c r="F26" s="247">
        <v>109060</v>
      </c>
      <c r="G26" s="247">
        <v>118839</v>
      </c>
      <c r="H26" s="247">
        <v>119116</v>
      </c>
      <c r="I26" s="247">
        <v>120015</v>
      </c>
      <c r="J26" s="248">
        <v>128633</v>
      </c>
      <c r="K26" s="248">
        <v>119578</v>
      </c>
      <c r="L26" s="248">
        <v>124934</v>
      </c>
      <c r="M26" s="248">
        <v>116330.77982629662</v>
      </c>
      <c r="N26" s="248">
        <v>120513.17186763212</v>
      </c>
      <c r="O26" s="249">
        <v>93392.05</v>
      </c>
      <c r="P26" s="266">
        <v>27121.121867632115</v>
      </c>
      <c r="Q26" s="250">
        <v>60430.15</v>
      </c>
      <c r="R26" s="264">
        <v>0.99427216612565483</v>
      </c>
      <c r="S26" s="266">
        <v>60083.021867632116</v>
      </c>
      <c r="T26" s="251">
        <v>27468.25</v>
      </c>
      <c r="U26" s="266">
        <v>93044.921867632118</v>
      </c>
      <c r="V26" s="252">
        <v>5493.6500000000087</v>
      </c>
      <c r="W26" s="266">
        <v>115019.52186763211</v>
      </c>
    </row>
    <row r="27" spans="1:23" x14ac:dyDescent="0.3">
      <c r="A27" s="2" t="s">
        <v>134</v>
      </c>
      <c r="B27" s="246">
        <v>19539</v>
      </c>
      <c r="C27" s="247">
        <v>21476</v>
      </c>
      <c r="D27" s="247">
        <v>21085</v>
      </c>
      <c r="E27" s="247">
        <v>21465</v>
      </c>
      <c r="F27" s="247">
        <v>23142</v>
      </c>
      <c r="G27" s="247">
        <v>23355</v>
      </c>
      <c r="H27" s="247">
        <v>15301</v>
      </c>
      <c r="I27" s="247">
        <v>15513</v>
      </c>
      <c r="J27" s="254">
        <v>22821</v>
      </c>
      <c r="K27" s="248">
        <v>17328</v>
      </c>
      <c r="L27" s="248">
        <v>17114</v>
      </c>
      <c r="M27" s="248">
        <v>15149.812424610509</v>
      </c>
      <c r="N27" s="248">
        <v>11053.350589061631</v>
      </c>
      <c r="O27" s="249">
        <v>16608.150000000001</v>
      </c>
      <c r="P27" s="266">
        <v>-5554.7994109383708</v>
      </c>
      <c r="Q27" s="250">
        <v>10746.449999999999</v>
      </c>
      <c r="R27" s="264">
        <v>2.8560980606827241E-2</v>
      </c>
      <c r="S27" s="266">
        <v>306.90058906163176</v>
      </c>
      <c r="T27" s="251">
        <v>4884.75</v>
      </c>
      <c r="U27" s="266">
        <v>6168.6005890616307</v>
      </c>
      <c r="V27" s="252">
        <v>976.95000000000073</v>
      </c>
      <c r="W27" s="266">
        <v>10076.40058906163</v>
      </c>
    </row>
    <row r="28" spans="1:23" x14ac:dyDescent="0.3">
      <c r="B28" s="256"/>
      <c r="C28" s="256"/>
      <c r="D28" s="256"/>
      <c r="E28" s="256"/>
      <c r="F28" s="256"/>
      <c r="G28" s="256"/>
      <c r="H28" s="256"/>
      <c r="I28" s="256"/>
      <c r="J28" s="256"/>
      <c r="K28" s="256"/>
      <c r="L28" s="256"/>
      <c r="M28" s="256"/>
      <c r="N28" s="256"/>
      <c r="O28"/>
      <c r="P28" s="248"/>
    </row>
    <row r="29" spans="1:23" x14ac:dyDescent="0.3">
      <c r="D29"/>
    </row>
    <row r="30" spans="1:23" x14ac:dyDescent="0.3">
      <c r="D30"/>
      <c r="E30"/>
      <c r="F30"/>
      <c r="G30"/>
      <c r="H30"/>
      <c r="I30"/>
      <c r="J30"/>
      <c r="K30"/>
      <c r="L30"/>
      <c r="M30"/>
    </row>
    <row r="31" spans="1:23" x14ac:dyDescent="0.3">
      <c r="D31"/>
      <c r="E31"/>
      <c r="F31"/>
      <c r="G31"/>
      <c r="H31"/>
      <c r="I31"/>
      <c r="J31"/>
      <c r="K31"/>
      <c r="L31"/>
      <c r="M31"/>
    </row>
    <row r="32" spans="1:23" x14ac:dyDescent="0.3">
      <c r="D32"/>
      <c r="E32"/>
      <c r="F32"/>
      <c r="G32"/>
      <c r="H32"/>
      <c r="I32"/>
      <c r="J32"/>
      <c r="K32"/>
      <c r="L32"/>
      <c r="M32"/>
    </row>
    <row r="33" spans="18:18" customFormat="1" ht="14.4" x14ac:dyDescent="0.3">
      <c r="R33" s="78"/>
    </row>
    <row r="34" spans="18:18" customFormat="1" ht="14.4" x14ac:dyDescent="0.3">
      <c r="R34" s="78"/>
    </row>
    <row r="35" spans="18:18" customFormat="1" ht="14.4" x14ac:dyDescent="0.3">
      <c r="R35" s="78"/>
    </row>
    <row r="36" spans="18:18" customFormat="1" ht="14.4" x14ac:dyDescent="0.3">
      <c r="R36" s="78"/>
    </row>
    <row r="37" spans="18:18" customFormat="1" ht="14.4" x14ac:dyDescent="0.3">
      <c r="R37" s="78"/>
    </row>
    <row r="38" spans="18:18" customFormat="1" ht="14.4" x14ac:dyDescent="0.3">
      <c r="R38" s="78"/>
    </row>
    <row r="39" spans="18:18" customFormat="1" ht="14.4" x14ac:dyDescent="0.3">
      <c r="R39" s="78"/>
    </row>
    <row r="40" spans="18:18" customFormat="1" ht="14.4" x14ac:dyDescent="0.3">
      <c r="R40" s="78"/>
    </row>
    <row r="41" spans="18:18" customFormat="1" ht="14.4" x14ac:dyDescent="0.3">
      <c r="R41" s="78"/>
    </row>
    <row r="42" spans="18:18" customFormat="1" ht="14.4" x14ac:dyDescent="0.3">
      <c r="R42" s="78"/>
    </row>
    <row r="43" spans="18:18" customFormat="1" ht="14.4" x14ac:dyDescent="0.3">
      <c r="R43" s="78"/>
    </row>
    <row r="44" spans="18:18" customFormat="1" ht="14.4" x14ac:dyDescent="0.3">
      <c r="R44" s="78"/>
    </row>
    <row r="45" spans="18:18" customFormat="1" ht="14.4" x14ac:dyDescent="0.3">
      <c r="R45" s="78"/>
    </row>
    <row r="46" spans="18:18" customFormat="1" ht="14.4" x14ac:dyDescent="0.3">
      <c r="R46" s="78"/>
    </row>
    <row r="47" spans="18:18" customFormat="1" ht="14.4" x14ac:dyDescent="0.3">
      <c r="R47" s="78"/>
    </row>
    <row r="48" spans="18:18" customFormat="1" ht="14.4" x14ac:dyDescent="0.3">
      <c r="R48" s="78"/>
    </row>
    <row r="49" spans="4:18" customFormat="1" ht="14.4" x14ac:dyDescent="0.3">
      <c r="R49" s="78"/>
    </row>
    <row r="50" spans="4:18" customFormat="1" ht="14.4" x14ac:dyDescent="0.3">
      <c r="R50" s="78"/>
    </row>
    <row r="51" spans="4:18" customFormat="1" ht="16.8" customHeight="1" x14ac:dyDescent="0.3">
      <c r="R51" s="78"/>
    </row>
    <row r="52" spans="4:18" customFormat="1" ht="16.8" customHeight="1" x14ac:dyDescent="0.3">
      <c r="R52" s="78"/>
    </row>
    <row r="53" spans="4:18" customFormat="1" ht="16.8" customHeight="1" x14ac:dyDescent="0.3">
      <c r="R53" s="78"/>
    </row>
    <row r="54" spans="4:18" customFormat="1" ht="16.8" customHeight="1" x14ac:dyDescent="0.3">
      <c r="R54" s="78"/>
    </row>
    <row r="55" spans="4:18" customFormat="1" ht="14.4" x14ac:dyDescent="0.3">
      <c r="R55" s="78"/>
    </row>
    <row r="56" spans="4:18" customFormat="1" x14ac:dyDescent="0.3">
      <c r="D56" s="2"/>
      <c r="R56" s="78"/>
    </row>
    <row r="57" spans="4:18" customFormat="1" ht="14.4" x14ac:dyDescent="0.3">
      <c r="R57" s="78"/>
    </row>
    <row r="58" spans="4:18" customFormat="1" ht="14.4" x14ac:dyDescent="0.3">
      <c r="R58" s="78"/>
    </row>
    <row r="59" spans="4:18" customFormat="1" ht="14.4" x14ac:dyDescent="0.3">
      <c r="R59" s="78"/>
    </row>
    <row r="60" spans="4:18" customFormat="1" ht="14.4" x14ac:dyDescent="0.3">
      <c r="R60" s="78"/>
    </row>
    <row r="61" spans="4:18" customFormat="1" ht="14.4" x14ac:dyDescent="0.3">
      <c r="R61" s="78"/>
    </row>
    <row r="62" spans="4:18" customFormat="1" ht="14.4" x14ac:dyDescent="0.3">
      <c r="R62" s="78"/>
    </row>
    <row r="63" spans="4:18" customFormat="1" ht="14.4" x14ac:dyDescent="0.3">
      <c r="R63" s="78"/>
    </row>
    <row r="64" spans="4:18" customFormat="1" ht="14.4" x14ac:dyDescent="0.3">
      <c r="R64" s="78"/>
    </row>
    <row r="65" spans="18:18" customFormat="1" ht="14.4" x14ac:dyDescent="0.3">
      <c r="R65" s="78"/>
    </row>
    <row r="66" spans="18:18" customFormat="1" ht="14.4" x14ac:dyDescent="0.3">
      <c r="R66" s="78"/>
    </row>
    <row r="67" spans="18:18" customFormat="1" ht="14.4" x14ac:dyDescent="0.3">
      <c r="R67" s="78"/>
    </row>
    <row r="68" spans="18:18" customFormat="1" ht="14.4" x14ac:dyDescent="0.3">
      <c r="R68" s="78"/>
    </row>
    <row r="69" spans="18:18" customFormat="1" ht="14.4" x14ac:dyDescent="0.3">
      <c r="R69" s="78"/>
    </row>
    <row r="70" spans="18:18" customFormat="1" ht="14.4" x14ac:dyDescent="0.3">
      <c r="R70" s="78"/>
    </row>
    <row r="71" spans="18:18" customFormat="1" ht="14.4" x14ac:dyDescent="0.3">
      <c r="R71" s="78"/>
    </row>
    <row r="72" spans="18:18" customFormat="1" ht="14.4" x14ac:dyDescent="0.3">
      <c r="R72" s="78"/>
    </row>
    <row r="73" spans="18:18" customFormat="1" ht="14.4" x14ac:dyDescent="0.3">
      <c r="R73" s="78"/>
    </row>
    <row r="74" spans="18:18" customFormat="1" ht="14.4" x14ac:dyDescent="0.3">
      <c r="R74" s="78"/>
    </row>
    <row r="75" spans="18:18" customFormat="1" ht="14.4" x14ac:dyDescent="0.3">
      <c r="R75" s="78"/>
    </row>
    <row r="76" spans="18:18" customFormat="1" ht="14.4" x14ac:dyDescent="0.3">
      <c r="R76" s="78"/>
    </row>
    <row r="77" spans="18:18" customFormat="1" ht="14.4" x14ac:dyDescent="0.3">
      <c r="R77" s="78"/>
    </row>
    <row r="78" spans="18:18" customFormat="1" ht="14.4" x14ac:dyDescent="0.3">
      <c r="R78" s="78"/>
    </row>
    <row r="79" spans="18:18" customFormat="1" ht="14.4" x14ac:dyDescent="0.3">
      <c r="R79" s="78"/>
    </row>
    <row r="80" spans="18:18" customFormat="1" ht="14.4" x14ac:dyDescent="0.3">
      <c r="R80" s="78"/>
    </row>
    <row r="81" spans="18:18" customFormat="1" ht="14.4" x14ac:dyDescent="0.3">
      <c r="R81" s="78"/>
    </row>
    <row r="82" spans="18:18" customFormat="1" ht="14.4" x14ac:dyDescent="0.3">
      <c r="R82" s="78"/>
    </row>
    <row r="83" spans="18:18" customFormat="1" ht="14.4" x14ac:dyDescent="0.3">
      <c r="R83" s="78"/>
    </row>
    <row r="84" spans="18:18" customFormat="1" ht="14.4" x14ac:dyDescent="0.3">
      <c r="R84" s="78"/>
    </row>
    <row r="85" spans="18:18" customFormat="1" ht="14.4" x14ac:dyDescent="0.3">
      <c r="R85" s="78"/>
    </row>
    <row r="86" spans="18:18" customFormat="1" ht="14.4" x14ac:dyDescent="0.3">
      <c r="R86" s="78"/>
    </row>
    <row r="87" spans="18:18" customFormat="1" ht="14.4" x14ac:dyDescent="0.3">
      <c r="R87" s="78"/>
    </row>
    <row r="88" spans="18:18" customFormat="1" ht="14.4" x14ac:dyDescent="0.3">
      <c r="R88" s="78"/>
    </row>
    <row r="89" spans="18:18" customFormat="1" ht="14.4" x14ac:dyDescent="0.3">
      <c r="R89" s="78"/>
    </row>
    <row r="90" spans="18:18" customFormat="1" ht="14.4" x14ac:dyDescent="0.3">
      <c r="R90" s="78"/>
    </row>
    <row r="91" spans="18:18" customFormat="1" ht="14.4" x14ac:dyDescent="0.3">
      <c r="R91" s="78"/>
    </row>
    <row r="92" spans="18:18" customFormat="1" ht="14.4" x14ac:dyDescent="0.3">
      <c r="R92" s="78"/>
    </row>
    <row r="93" spans="18:18" customFormat="1" ht="14.4" x14ac:dyDescent="0.3">
      <c r="R93" s="78"/>
    </row>
    <row r="94" spans="18:18" customFormat="1" ht="14.4" x14ac:dyDescent="0.3">
      <c r="R94" s="78"/>
    </row>
    <row r="95" spans="18:18" customFormat="1" ht="14.4" x14ac:dyDescent="0.3">
      <c r="R95" s="78"/>
    </row>
    <row r="96" spans="18:18" customFormat="1" ht="14.4" x14ac:dyDescent="0.3">
      <c r="R96" s="78"/>
    </row>
    <row r="97" spans="4:18" customFormat="1" ht="14.4" x14ac:dyDescent="0.3">
      <c r="R97" s="78"/>
    </row>
    <row r="98" spans="4:18" customFormat="1" ht="14.4" x14ac:dyDescent="0.3">
      <c r="R98" s="78"/>
    </row>
    <row r="99" spans="4:18" customFormat="1" ht="14.4" x14ac:dyDescent="0.3">
      <c r="R99" s="78"/>
    </row>
    <row r="100" spans="4:18" customFormat="1" ht="14.4" x14ac:dyDescent="0.3">
      <c r="R100" s="78"/>
    </row>
    <row r="101" spans="4:18" x14ac:dyDescent="0.3">
      <c r="D101"/>
      <c r="E101"/>
      <c r="F101"/>
      <c r="G101"/>
      <c r="H101"/>
      <c r="I101"/>
      <c r="J101"/>
      <c r="K101"/>
      <c r="L101"/>
      <c r="M101"/>
    </row>
    <row r="102" spans="4:18" x14ac:dyDescent="0.3">
      <c r="D102"/>
      <c r="E102"/>
      <c r="F102"/>
      <c r="G102"/>
      <c r="H102"/>
      <c r="I102"/>
      <c r="J102"/>
      <c r="K102"/>
      <c r="L102"/>
      <c r="M102"/>
    </row>
    <row r="103" spans="4:18" x14ac:dyDescent="0.3">
      <c r="D103"/>
      <c r="E103"/>
      <c r="F103"/>
      <c r="G103"/>
      <c r="H103"/>
      <c r="I103"/>
      <c r="J103"/>
      <c r="K103"/>
      <c r="L103"/>
      <c r="M103"/>
    </row>
    <row r="104" spans="4:18" x14ac:dyDescent="0.3">
      <c r="D104"/>
      <c r="E104"/>
      <c r="F104"/>
      <c r="G104"/>
      <c r="H104"/>
      <c r="I104"/>
      <c r="J104"/>
      <c r="K104"/>
      <c r="L104"/>
      <c r="M104"/>
    </row>
    <row r="105" spans="4:18" x14ac:dyDescent="0.3">
      <c r="D105"/>
      <c r="E105"/>
      <c r="F105"/>
      <c r="G105"/>
      <c r="H105"/>
      <c r="I105"/>
      <c r="J105"/>
      <c r="K105"/>
      <c r="L105"/>
      <c r="M105"/>
    </row>
    <row r="106" spans="4:18" x14ac:dyDescent="0.3">
      <c r="D106"/>
      <c r="E106"/>
      <c r="F106"/>
      <c r="G106"/>
      <c r="H106"/>
      <c r="I106"/>
      <c r="J106"/>
      <c r="K106"/>
      <c r="L106"/>
      <c r="M106"/>
    </row>
    <row r="107" spans="4:18" x14ac:dyDescent="0.3">
      <c r="D107"/>
      <c r="E107"/>
      <c r="F107"/>
      <c r="G107"/>
      <c r="H107"/>
      <c r="I107"/>
      <c r="J107"/>
      <c r="K107"/>
      <c r="L107"/>
      <c r="M107"/>
    </row>
    <row r="108" spans="4:18" x14ac:dyDescent="0.3">
      <c r="D108"/>
      <c r="E108"/>
      <c r="F108"/>
      <c r="G108"/>
      <c r="H108"/>
      <c r="I108"/>
      <c r="J108"/>
      <c r="K108"/>
      <c r="L108"/>
      <c r="M108"/>
    </row>
    <row r="109" spans="4:18" x14ac:dyDescent="0.3">
      <c r="D109"/>
      <c r="E109"/>
      <c r="F109"/>
      <c r="G109"/>
      <c r="H109"/>
      <c r="I109"/>
      <c r="J109"/>
      <c r="K109"/>
      <c r="L109"/>
      <c r="M109"/>
    </row>
    <row r="110" spans="4:18" x14ac:dyDescent="0.3">
      <c r="D110"/>
      <c r="E110"/>
      <c r="F110"/>
      <c r="G110"/>
      <c r="H110"/>
      <c r="I110"/>
      <c r="J110"/>
      <c r="K110"/>
      <c r="L110"/>
      <c r="M110"/>
    </row>
    <row r="111" spans="4:18" x14ac:dyDescent="0.3">
      <c r="D111"/>
      <c r="E111"/>
      <c r="F111"/>
      <c r="G111"/>
      <c r="H111"/>
      <c r="I111"/>
      <c r="J111"/>
      <c r="K111"/>
      <c r="L111"/>
      <c r="M111"/>
    </row>
    <row r="112" spans="4:18" x14ac:dyDescent="0.3">
      <c r="D112"/>
      <c r="E112"/>
      <c r="F112"/>
      <c r="G112"/>
      <c r="H112"/>
      <c r="I112"/>
      <c r="J112"/>
      <c r="K112"/>
      <c r="L112"/>
      <c r="M112"/>
    </row>
    <row r="113" spans="4:13" x14ac:dyDescent="0.3">
      <c r="D113"/>
      <c r="E113"/>
      <c r="F113"/>
      <c r="G113"/>
      <c r="H113"/>
      <c r="I113"/>
      <c r="J113"/>
      <c r="K113"/>
      <c r="L113"/>
      <c r="M113"/>
    </row>
    <row r="114" spans="4:13" x14ac:dyDescent="0.3">
      <c r="D114"/>
      <c r="E114"/>
      <c r="F114"/>
      <c r="G114"/>
      <c r="H114"/>
      <c r="I114"/>
      <c r="J114"/>
      <c r="K114"/>
      <c r="L114"/>
      <c r="M114"/>
    </row>
    <row r="115" spans="4:13" x14ac:dyDescent="0.3">
      <c r="D115"/>
      <c r="E115"/>
      <c r="F115"/>
      <c r="G115"/>
      <c r="H115"/>
      <c r="I115"/>
      <c r="J115"/>
      <c r="K115"/>
      <c r="L115"/>
      <c r="M115"/>
    </row>
    <row r="116" spans="4:13" x14ac:dyDescent="0.3">
      <c r="D116"/>
      <c r="E116"/>
      <c r="F116"/>
      <c r="G116"/>
      <c r="H116"/>
      <c r="I116"/>
      <c r="J116"/>
      <c r="K116"/>
      <c r="L116"/>
      <c r="M116"/>
    </row>
    <row r="117" spans="4:13" x14ac:dyDescent="0.3">
      <c r="D117"/>
      <c r="E117"/>
      <c r="F117"/>
      <c r="G117"/>
      <c r="H117"/>
      <c r="I117"/>
      <c r="J117"/>
      <c r="K117"/>
      <c r="L117"/>
      <c r="M117"/>
    </row>
    <row r="118" spans="4:13" x14ac:dyDescent="0.3">
      <c r="D118"/>
      <c r="E118"/>
      <c r="F118"/>
      <c r="G118"/>
      <c r="H118"/>
      <c r="I118"/>
      <c r="J118"/>
      <c r="K118"/>
      <c r="L118"/>
      <c r="M118"/>
    </row>
    <row r="119" spans="4:13" x14ac:dyDescent="0.3">
      <c r="D119"/>
      <c r="E119"/>
      <c r="F119"/>
      <c r="G119"/>
      <c r="H119"/>
      <c r="I119"/>
      <c r="J119"/>
      <c r="K119"/>
      <c r="L119"/>
      <c r="M119"/>
    </row>
    <row r="120" spans="4:13" x14ac:dyDescent="0.3">
      <c r="D120"/>
      <c r="E120"/>
      <c r="F120"/>
      <c r="G120"/>
      <c r="H120"/>
      <c r="I120"/>
      <c r="J120"/>
      <c r="K120"/>
      <c r="L120"/>
      <c r="M120"/>
    </row>
    <row r="121" spans="4:13" x14ac:dyDescent="0.3">
      <c r="D121"/>
      <c r="E121"/>
      <c r="F121"/>
      <c r="G121"/>
      <c r="H121"/>
      <c r="I121"/>
      <c r="J121"/>
      <c r="K121"/>
      <c r="L121"/>
      <c r="M121"/>
    </row>
    <row r="122" spans="4:13" x14ac:dyDescent="0.3">
      <c r="D122"/>
      <c r="E122"/>
      <c r="F122"/>
      <c r="G122"/>
      <c r="H122"/>
      <c r="I122"/>
      <c r="J122"/>
      <c r="K122"/>
      <c r="L122"/>
      <c r="M122"/>
    </row>
    <row r="123" spans="4:13" x14ac:dyDescent="0.3">
      <c r="D123"/>
      <c r="E123"/>
      <c r="F123"/>
      <c r="G123"/>
      <c r="H123"/>
      <c r="I123"/>
      <c r="J123"/>
      <c r="K123"/>
      <c r="L123"/>
      <c r="M123"/>
    </row>
    <row r="124" spans="4:13" x14ac:dyDescent="0.3">
      <c r="D124"/>
      <c r="E124"/>
      <c r="F124"/>
      <c r="G124"/>
      <c r="H124"/>
      <c r="I124"/>
      <c r="J124"/>
      <c r="K124"/>
      <c r="L124"/>
      <c r="M124"/>
    </row>
    <row r="125" spans="4:13" x14ac:dyDescent="0.3">
      <c r="D125"/>
      <c r="E125"/>
      <c r="F125"/>
      <c r="G125"/>
      <c r="H125"/>
      <c r="I125"/>
      <c r="J125"/>
      <c r="K125"/>
      <c r="L125"/>
      <c r="M125"/>
    </row>
    <row r="126" spans="4:13" x14ac:dyDescent="0.3">
      <c r="D126"/>
      <c r="E126"/>
      <c r="F126"/>
      <c r="G126"/>
      <c r="H126"/>
      <c r="I126"/>
      <c r="J126"/>
      <c r="K126"/>
      <c r="L126"/>
      <c r="M126"/>
    </row>
    <row r="127" spans="4:13" x14ac:dyDescent="0.3">
      <c r="D127"/>
      <c r="E127"/>
      <c r="F127"/>
      <c r="G127"/>
      <c r="H127"/>
      <c r="I127"/>
      <c r="J127"/>
      <c r="K127"/>
      <c r="L127"/>
      <c r="M127"/>
    </row>
    <row r="128" spans="4:13" x14ac:dyDescent="0.3">
      <c r="D128"/>
      <c r="E128"/>
      <c r="F128"/>
      <c r="G128"/>
      <c r="H128"/>
      <c r="I128"/>
      <c r="J128"/>
      <c r="K128"/>
      <c r="L128"/>
      <c r="M128"/>
    </row>
    <row r="129" spans="4:13" x14ac:dyDescent="0.3">
      <c r="D129"/>
      <c r="E129"/>
      <c r="F129"/>
      <c r="G129"/>
      <c r="H129"/>
      <c r="I129"/>
      <c r="J129"/>
      <c r="K129"/>
      <c r="L129"/>
      <c r="M129"/>
    </row>
    <row r="130" spans="4:13" x14ac:dyDescent="0.3">
      <c r="D130"/>
      <c r="E130"/>
      <c r="F130"/>
      <c r="G130"/>
      <c r="H130"/>
      <c r="I130"/>
      <c r="J130"/>
      <c r="K130"/>
      <c r="L130"/>
      <c r="M130"/>
    </row>
    <row r="131" spans="4:13" x14ac:dyDescent="0.3">
      <c r="D131"/>
      <c r="E131"/>
      <c r="F131"/>
      <c r="G131"/>
      <c r="H131"/>
      <c r="I131"/>
      <c r="J131"/>
      <c r="K131"/>
      <c r="L131"/>
      <c r="M131"/>
    </row>
    <row r="132" spans="4:13" x14ac:dyDescent="0.3">
      <c r="D132"/>
      <c r="E132"/>
      <c r="F132"/>
      <c r="G132"/>
      <c r="H132"/>
      <c r="I132"/>
      <c r="J132"/>
      <c r="K132"/>
      <c r="L132"/>
      <c r="M132"/>
    </row>
    <row r="133" spans="4:13" x14ac:dyDescent="0.3">
      <c r="D133"/>
      <c r="E133"/>
      <c r="F133"/>
      <c r="G133"/>
      <c r="H133"/>
      <c r="I133"/>
      <c r="J133"/>
      <c r="K133"/>
      <c r="L133"/>
      <c r="M133"/>
    </row>
    <row r="134" spans="4:13" x14ac:dyDescent="0.3">
      <c r="D134"/>
      <c r="E134"/>
      <c r="F134"/>
      <c r="G134"/>
      <c r="H134"/>
      <c r="I134"/>
      <c r="J134"/>
      <c r="K134"/>
      <c r="L134"/>
      <c r="M134"/>
    </row>
    <row r="135" spans="4:13" x14ac:dyDescent="0.3">
      <c r="D135"/>
      <c r="E135"/>
      <c r="F135"/>
      <c r="G135"/>
      <c r="H135"/>
      <c r="I135"/>
      <c r="J135"/>
      <c r="K135"/>
      <c r="L135"/>
      <c r="M135"/>
    </row>
    <row r="136" spans="4:13" x14ac:dyDescent="0.3">
      <c r="D136"/>
      <c r="E136"/>
      <c r="F136"/>
      <c r="G136"/>
      <c r="H136"/>
      <c r="I136"/>
      <c r="J136"/>
      <c r="K136"/>
      <c r="L136"/>
      <c r="M136"/>
    </row>
    <row r="137" spans="4:13" x14ac:dyDescent="0.3">
      <c r="D137"/>
      <c r="E137"/>
      <c r="F137"/>
      <c r="G137"/>
      <c r="H137"/>
      <c r="I137"/>
      <c r="J137"/>
      <c r="K137"/>
      <c r="L137"/>
      <c r="M137"/>
    </row>
    <row r="138" spans="4:13" x14ac:dyDescent="0.3">
      <c r="D138"/>
      <c r="E138"/>
      <c r="F138"/>
      <c r="G138"/>
      <c r="H138"/>
      <c r="I138"/>
      <c r="J138"/>
      <c r="K138"/>
      <c r="L138"/>
      <c r="M138"/>
    </row>
    <row r="139" spans="4:13" x14ac:dyDescent="0.3">
      <c r="D139"/>
      <c r="E139"/>
      <c r="F139"/>
      <c r="G139"/>
      <c r="H139"/>
      <c r="I139"/>
      <c r="J139"/>
      <c r="K139"/>
      <c r="L139"/>
      <c r="M139"/>
    </row>
    <row r="140" spans="4:13" x14ac:dyDescent="0.3">
      <c r="D140"/>
      <c r="E140"/>
      <c r="F140"/>
      <c r="G140"/>
      <c r="H140"/>
      <c r="I140"/>
      <c r="J140"/>
      <c r="K140"/>
      <c r="L140"/>
      <c r="M140"/>
    </row>
    <row r="141" spans="4:13" x14ac:dyDescent="0.3">
      <c r="D141"/>
      <c r="E141"/>
      <c r="F141"/>
      <c r="G141"/>
      <c r="H141"/>
      <c r="I141"/>
      <c r="J141"/>
      <c r="K141"/>
      <c r="L141"/>
      <c r="M141"/>
    </row>
    <row r="142" spans="4:13" x14ac:dyDescent="0.3">
      <c r="D142"/>
      <c r="E142"/>
      <c r="F142"/>
      <c r="G142"/>
      <c r="H142"/>
      <c r="I142"/>
      <c r="J142"/>
      <c r="K142"/>
      <c r="L142"/>
      <c r="M142"/>
    </row>
    <row r="143" spans="4:13" x14ac:dyDescent="0.3">
      <c r="D143"/>
      <c r="E143"/>
      <c r="F143"/>
      <c r="G143"/>
      <c r="H143"/>
      <c r="I143"/>
      <c r="J143"/>
      <c r="K143"/>
      <c r="L143"/>
      <c r="M143"/>
    </row>
    <row r="144" spans="4:13" x14ac:dyDescent="0.3">
      <c r="D144"/>
      <c r="E144"/>
      <c r="F144"/>
      <c r="G144"/>
      <c r="H144"/>
      <c r="I144"/>
      <c r="J144"/>
      <c r="K144"/>
      <c r="L144"/>
      <c r="M144"/>
    </row>
    <row r="145" spans="4:13" x14ac:dyDescent="0.3">
      <c r="D145"/>
      <c r="E145"/>
      <c r="F145"/>
      <c r="G145"/>
      <c r="H145"/>
      <c r="I145"/>
      <c r="J145"/>
      <c r="K145"/>
      <c r="L145"/>
      <c r="M145"/>
    </row>
    <row r="146" spans="4:13" x14ac:dyDescent="0.3">
      <c r="D146"/>
      <c r="E146"/>
      <c r="F146"/>
      <c r="G146"/>
      <c r="H146"/>
      <c r="I146"/>
      <c r="J146"/>
      <c r="K146"/>
      <c r="L146"/>
      <c r="M146"/>
    </row>
    <row r="147" spans="4:13" x14ac:dyDescent="0.3">
      <c r="D147"/>
      <c r="E147"/>
      <c r="F147"/>
      <c r="G147"/>
      <c r="H147"/>
      <c r="I147"/>
      <c r="J147"/>
      <c r="K147"/>
      <c r="L147"/>
      <c r="M147"/>
    </row>
    <row r="148" spans="4:13" x14ac:dyDescent="0.3">
      <c r="D148"/>
      <c r="E148"/>
      <c r="F148"/>
      <c r="G148"/>
      <c r="H148"/>
      <c r="I148"/>
      <c r="J148"/>
      <c r="K148"/>
      <c r="L148"/>
      <c r="M148"/>
    </row>
    <row r="149" spans="4:13" x14ac:dyDescent="0.3">
      <c r="D149"/>
      <c r="E149"/>
      <c r="F149"/>
      <c r="G149"/>
      <c r="H149"/>
      <c r="I149"/>
      <c r="J149"/>
      <c r="K149"/>
      <c r="L149"/>
      <c r="M149"/>
    </row>
    <row r="150" spans="4:13" x14ac:dyDescent="0.3">
      <c r="D150"/>
      <c r="E150"/>
      <c r="F150"/>
      <c r="G150"/>
      <c r="H150"/>
      <c r="I150"/>
      <c r="J150"/>
      <c r="K150"/>
      <c r="L150"/>
      <c r="M150"/>
    </row>
    <row r="151" spans="4:13" x14ac:dyDescent="0.3">
      <c r="D151"/>
      <c r="E151"/>
      <c r="F151"/>
      <c r="G151"/>
      <c r="H151"/>
      <c r="I151"/>
      <c r="J151"/>
      <c r="K151"/>
      <c r="L151"/>
      <c r="M151"/>
    </row>
    <row r="152" spans="4:13" x14ac:dyDescent="0.3">
      <c r="D152"/>
      <c r="E152"/>
      <c r="F152"/>
      <c r="G152"/>
      <c r="H152"/>
      <c r="I152"/>
      <c r="J152"/>
      <c r="K152"/>
      <c r="L152"/>
      <c r="M152"/>
    </row>
    <row r="153" spans="4:13" x14ac:dyDescent="0.3">
      <c r="D153"/>
      <c r="E153"/>
      <c r="F153"/>
      <c r="G153"/>
      <c r="H153"/>
      <c r="I153"/>
      <c r="J153"/>
      <c r="K153"/>
      <c r="L153"/>
      <c r="M153"/>
    </row>
    <row r="154" spans="4:13" x14ac:dyDescent="0.3">
      <c r="D154"/>
      <c r="E154"/>
      <c r="F154"/>
      <c r="G154"/>
      <c r="H154"/>
      <c r="I154"/>
      <c r="J154"/>
      <c r="K154"/>
      <c r="L154"/>
      <c r="M154"/>
    </row>
    <row r="155" spans="4:13" x14ac:dyDescent="0.3">
      <c r="D155"/>
      <c r="E155"/>
      <c r="F155"/>
      <c r="G155"/>
      <c r="H155"/>
      <c r="I155"/>
      <c r="J155"/>
      <c r="K155"/>
      <c r="L155"/>
      <c r="M155"/>
    </row>
    <row r="156" spans="4:13" x14ac:dyDescent="0.3">
      <c r="D156"/>
      <c r="E156"/>
      <c r="F156"/>
      <c r="G156"/>
      <c r="H156"/>
      <c r="I156"/>
      <c r="J156"/>
      <c r="K156"/>
      <c r="L156"/>
      <c r="M156"/>
    </row>
  </sheetData>
  <sortState xmlns:xlrd2="http://schemas.microsoft.com/office/spreadsheetml/2017/richdata2" ref="A3:W27">
    <sortCondition ref="A3:A27"/>
  </sortState>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43</vt:i4>
      </vt:variant>
    </vt:vector>
  </HeadingPairs>
  <TitlesOfParts>
    <vt:vector size="48" baseType="lpstr">
      <vt:lpstr>Instructions</vt:lpstr>
      <vt:lpstr>Report</vt:lpstr>
      <vt:lpstr>Reference</vt:lpstr>
      <vt:lpstr>Emission Reduction Estimates</vt:lpstr>
      <vt:lpstr>Historic data and limits</vt:lpstr>
      <vt:lpstr>A__WA_State_Avg_Retail_Electricity__kWh</vt:lpstr>
      <vt:lpstr>AvGas_used</vt:lpstr>
      <vt:lpstr>B100_CH4_MT_gal</vt:lpstr>
      <vt:lpstr>B100_CO2_MT_gal</vt:lpstr>
      <vt:lpstr>B100_N2O_MT_gal</vt:lpstr>
      <vt:lpstr>BlgDiesel__gals_used</vt:lpstr>
      <vt:lpstr>BlgFuelOil__gals_used</vt:lpstr>
      <vt:lpstr>BlgGasoline__gals_used</vt:lpstr>
      <vt:lpstr>BlgNG__therms_used</vt:lpstr>
      <vt:lpstr>BlgPropane__gals_used</vt:lpstr>
      <vt:lpstr>Diesel_MTCH4_gal</vt:lpstr>
      <vt:lpstr>Diesel_MTCO2_gal</vt:lpstr>
      <vt:lpstr>Diesel_MTN2O_gal</vt:lpstr>
      <vt:lpstr>Electricity_generated___i.e._solar_photovoltaic__wind_or_other…___kWh</vt:lpstr>
      <vt:lpstr>Fleet_Diesel_Ferries_used</vt:lpstr>
      <vt:lpstr>FleetAvGas_use</vt:lpstr>
      <vt:lpstr>FuelOil_MTCH4_gal</vt:lpstr>
      <vt:lpstr>FuelOil_MTCO2_gal</vt:lpstr>
      <vt:lpstr>FuelOil_MTN2O_gal</vt:lpstr>
      <vt:lpstr>Gasoline_MTCO2_gal</vt:lpstr>
      <vt:lpstr>Gasoline_MTN2O_gal</vt:lpstr>
      <vt:lpstr>Gasonline_MTCH4_gal</vt:lpstr>
      <vt:lpstr>GWP_CH4</vt:lpstr>
      <vt:lpstr>GWP_N2O</vt:lpstr>
      <vt:lpstr>kBTUperkWh</vt:lpstr>
      <vt:lpstr>MMBtu_per_klb</vt:lpstr>
      <vt:lpstr>MVDieselBulk_gals_used</vt:lpstr>
      <vt:lpstr>MVDieselRetail_gals_used</vt:lpstr>
      <vt:lpstr>MVDieselWSDOT_gals_used</vt:lpstr>
      <vt:lpstr>MVGasoline_gas_used</vt:lpstr>
      <vt:lpstr>MVPropane_gals_used</vt:lpstr>
      <vt:lpstr>NG_MTCH4_therm</vt:lpstr>
      <vt:lpstr>NG_MTCO2_therm</vt:lpstr>
      <vt:lpstr>NG_MTN2O_therms</vt:lpstr>
      <vt:lpstr>Propane_MTCH4_gal</vt:lpstr>
      <vt:lpstr>Propane_MTCO2_gal</vt:lpstr>
      <vt:lpstr>Propane_MTN2O_gal</vt:lpstr>
      <vt:lpstr>Purchased_electricity___WA_Avg_CO2EF</vt:lpstr>
      <vt:lpstr>Purchased_electricity_from_green_contract__kWh</vt:lpstr>
      <vt:lpstr>Purchased_Steam__klbs</vt:lpstr>
      <vt:lpstr>Renewable_thermal_heating_cooling</vt:lpstr>
      <vt:lpstr>Total_conditioned_space__sq._ft.</vt:lpstr>
      <vt:lpstr>WA_Elect_MT_CO2_kWh</vt:lpstr>
    </vt:vector>
  </TitlesOfParts>
  <Company>WA Department of Ecology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Waterman-Hoey, Stacey (ECY)</dc:creator>
  <cp:lastModifiedBy>Waterman-Hoey, Stacey (ECY)</cp:lastModifiedBy>
  <cp:lastPrinted>2021-12-09T22:43:27Z</cp:lastPrinted>
  <dcterms:created xsi:type="dcterms:W3CDTF">2021-09-07T15:51:58Z</dcterms:created>
  <dcterms:modified xsi:type="dcterms:W3CDTF">2023-05-02T23:34:00Z</dcterms:modified>
</cp:coreProperties>
</file>