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F:\ECYAllShare\SWM\Data Files\Data For Web\2022\"/>
    </mc:Choice>
  </mc:AlternateContent>
  <xr:revisionPtr revIDLastSave="0" documentId="13_ncr:1_{4EFC8164-0EE5-4816-9A15-2669743D823D}" xr6:coauthVersionLast="47" xr6:coauthVersionMax="47" xr10:uidLastSave="{00000000-0000-0000-0000-000000000000}"/>
  <bookViews>
    <workbookView xWindow="-120" yWindow="-120" windowWidth="29040" windowHeight="17520" tabRatio="624" xr2:uid="{00000000-000D-0000-FFFF-FFFF00000000}"/>
  </bookViews>
  <sheets>
    <sheet name="1-Waste Gen Recovery Data" sheetId="3" r:id="rId1"/>
    <sheet name="2-Charts" sheetId="4" r:id="rId2"/>
    <sheet name="3-Info-Notes" sheetId="12" r:id="rId3"/>
  </sheets>
  <definedNames>
    <definedName name="_xlnm.Print_Area" localSheetId="0">'1-Waste Gen Recovery Data'!$B$2:$C$101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85" i="3" l="1"/>
  <c r="X54" i="4" l="1"/>
  <c r="X9" i="4"/>
  <c r="U9" i="4"/>
  <c r="Y8" i="4"/>
  <c r="X8" i="4"/>
  <c r="U8" i="4"/>
  <c r="X7" i="4"/>
  <c r="U7" i="4"/>
  <c r="Y6" i="4"/>
  <c r="X6" i="4"/>
  <c r="U6" i="4"/>
  <c r="X5" i="4"/>
  <c r="U5" i="4"/>
  <c r="Z67" i="3"/>
  <c r="Y39" i="3"/>
  <c r="Y53" i="3" s="1"/>
  <c r="V39" i="3"/>
  <c r="U39" i="3"/>
  <c r="T39" i="3"/>
  <c r="S39" i="3"/>
  <c r="Q39" i="3"/>
  <c r="P39" i="3"/>
  <c r="O39" i="3"/>
  <c r="N39" i="3"/>
  <c r="M39" i="3"/>
  <c r="L39" i="3"/>
  <c r="K39" i="3"/>
  <c r="J39" i="3"/>
  <c r="I39" i="3"/>
  <c r="H39" i="3"/>
  <c r="G39" i="3"/>
  <c r="F39" i="3"/>
  <c r="E39" i="3"/>
  <c r="D39" i="3"/>
  <c r="Y101" i="3"/>
  <c r="Y74" i="3"/>
  <c r="Y77" i="3" s="1"/>
  <c r="Y67" i="3"/>
  <c r="Y86" i="3" l="1"/>
  <c r="Y69" i="3"/>
  <c r="Y79" i="3" s="1"/>
  <c r="Y82" i="3" s="1"/>
  <c r="Y80" i="3"/>
  <c r="V54" i="4"/>
  <c r="W54" i="4"/>
  <c r="W74" i="3"/>
  <c r="W77" i="3" s="1"/>
  <c r="X74" i="3"/>
  <c r="X77" i="3" s="1"/>
  <c r="Z74" i="3"/>
  <c r="Z77" i="3" s="1"/>
  <c r="W67" i="3"/>
  <c r="X67" i="3"/>
  <c r="X69" i="3" s="1"/>
  <c r="Z53" i="3"/>
  <c r="Z69" i="3" s="1"/>
  <c r="Y7" i="4" s="1"/>
  <c r="W53" i="3"/>
  <c r="X53" i="3"/>
  <c r="W101" i="3"/>
  <c r="X101" i="3"/>
  <c r="Z101" i="3"/>
  <c r="V101" i="3"/>
  <c r="V74" i="3"/>
  <c r="V86" i="3" s="1"/>
  <c r="V67" i="3"/>
  <c r="V53" i="3"/>
  <c r="X80" i="3" l="1"/>
  <c r="V69" i="3"/>
  <c r="W69" i="3"/>
  <c r="W80" i="3" s="1"/>
  <c r="Y85" i="3"/>
  <c r="Y87" i="3" s="1"/>
  <c r="Z86" i="3"/>
  <c r="Z79" i="3"/>
  <c r="X79" i="3"/>
  <c r="V77" i="3"/>
  <c r="V80" i="3" s="1"/>
  <c r="V79" i="3"/>
  <c r="V82" i="3" s="1"/>
  <c r="U54" i="4" s="1"/>
  <c r="V85" i="3"/>
  <c r="V87" i="3" s="1"/>
  <c r="Z82" i="3" l="1"/>
  <c r="Y54" i="4" s="1"/>
  <c r="Y5" i="4"/>
  <c r="W79" i="3"/>
  <c r="Z87" i="3"/>
  <c r="Y9" i="4" s="1"/>
  <c r="Z80" i="3"/>
  <c r="U101" i="3"/>
  <c r="T32" i="3" l="1"/>
  <c r="S32" i="3"/>
  <c r="T6" i="4" l="1"/>
  <c r="Q35" i="3" l="1"/>
  <c r="Q31" i="3"/>
  <c r="P31" i="3" l="1"/>
  <c r="O32" i="3" l="1"/>
  <c r="P35" i="3" l="1"/>
  <c r="O35" i="3" l="1"/>
  <c r="U67" i="3" l="1"/>
  <c r="U74" i="3"/>
  <c r="U53" i="3"/>
  <c r="T62" i="3"/>
  <c r="T30" i="3"/>
  <c r="T53" i="3" s="1"/>
  <c r="T64" i="3"/>
  <c r="U86" i="3" l="1"/>
  <c r="U77" i="3"/>
  <c r="U69" i="3"/>
  <c r="S62" i="3"/>
  <c r="S30" i="3"/>
  <c r="S64" i="3"/>
  <c r="U85" i="3" l="1"/>
  <c r="U87" i="3" s="1"/>
  <c r="U79" i="3"/>
  <c r="U82" i="3" s="1"/>
  <c r="T54" i="4" s="1"/>
  <c r="T8" i="4"/>
  <c r="U80" i="3"/>
  <c r="R62" i="3"/>
  <c r="R30" i="3"/>
  <c r="R35" i="3"/>
  <c r="R31" i="3"/>
  <c r="R64" i="3"/>
  <c r="T7" i="4" l="1"/>
  <c r="T9" i="4"/>
  <c r="T5" i="4"/>
  <c r="Q62" i="3"/>
  <c r="Q64" i="3"/>
  <c r="Q30" i="3"/>
  <c r="Q32" i="3"/>
  <c r="P62" i="3" l="1"/>
  <c r="P30" i="3"/>
  <c r="P64" i="3"/>
  <c r="O30" i="3" l="1"/>
  <c r="O62" i="3"/>
  <c r="O64" i="3"/>
  <c r="N62" i="3" l="1"/>
  <c r="N64" i="3"/>
  <c r="M62" i="3" l="1"/>
  <c r="M64" i="3"/>
  <c r="L62" i="3" l="1"/>
  <c r="L64" i="3"/>
  <c r="J62" i="3" l="1"/>
  <c r="I62" i="3"/>
  <c r="I67" i="3" s="1"/>
  <c r="D6" i="4" l="1"/>
  <c r="E6" i="4"/>
  <c r="F6" i="4"/>
  <c r="G6" i="4"/>
  <c r="H6" i="4"/>
  <c r="I6" i="4"/>
  <c r="J6" i="4"/>
  <c r="K6" i="4"/>
  <c r="L6" i="4"/>
  <c r="M6" i="4"/>
  <c r="N6" i="4"/>
  <c r="O6" i="4"/>
  <c r="P6" i="4"/>
  <c r="Q6" i="4"/>
  <c r="R6" i="4"/>
  <c r="S6" i="4"/>
  <c r="C6" i="4"/>
  <c r="I74" i="3"/>
  <c r="I77" i="3" s="1"/>
  <c r="I53" i="3"/>
  <c r="U11" i="4" l="1"/>
  <c r="X11" i="4"/>
  <c r="Y11" i="4"/>
  <c r="T11" i="4"/>
  <c r="M11" i="4"/>
  <c r="I86" i="3"/>
  <c r="H8" i="4" s="1"/>
  <c r="R11" i="4"/>
  <c r="P11" i="4"/>
  <c r="H11" i="4"/>
  <c r="Q11" i="4"/>
  <c r="I11" i="4"/>
  <c r="E11" i="4"/>
  <c r="N11" i="4"/>
  <c r="J11" i="4"/>
  <c r="F11" i="4"/>
  <c r="L11" i="4"/>
  <c r="D11" i="4"/>
  <c r="G11" i="4"/>
  <c r="S11" i="4"/>
  <c r="O11" i="4"/>
  <c r="K11" i="4"/>
  <c r="D74" i="3"/>
  <c r="E67" i="3"/>
  <c r="F67" i="3"/>
  <c r="G67" i="3"/>
  <c r="H67" i="3"/>
  <c r="J67" i="3"/>
  <c r="K67" i="3"/>
  <c r="L67" i="3"/>
  <c r="M67" i="3"/>
  <c r="N67" i="3"/>
  <c r="O67" i="3"/>
  <c r="P67" i="3"/>
  <c r="Q67" i="3"/>
  <c r="R67" i="3"/>
  <c r="S67" i="3"/>
  <c r="T67" i="3"/>
  <c r="D67" i="3"/>
  <c r="D53" i="3"/>
  <c r="D86" i="3" l="1"/>
  <c r="D69" i="3"/>
  <c r="D85" i="3" s="1"/>
  <c r="D77" i="3"/>
  <c r="E74" i="3"/>
  <c r="F74" i="3"/>
  <c r="G74" i="3"/>
  <c r="H74" i="3"/>
  <c r="J74" i="3"/>
  <c r="K74" i="3"/>
  <c r="L74" i="3"/>
  <c r="M74" i="3"/>
  <c r="N74" i="3"/>
  <c r="O74" i="3"/>
  <c r="P74" i="3"/>
  <c r="Q74" i="3"/>
  <c r="R74" i="3"/>
  <c r="S74" i="3"/>
  <c r="T74" i="3"/>
  <c r="C7" i="4" l="1"/>
  <c r="O86" i="3"/>
  <c r="C8" i="4"/>
  <c r="J86" i="3"/>
  <c r="Q86" i="3"/>
  <c r="S86" i="3"/>
  <c r="K86" i="3"/>
  <c r="F86" i="3"/>
  <c r="R86" i="3"/>
  <c r="N86" i="3"/>
  <c r="E86" i="3"/>
  <c r="D87" i="3"/>
  <c r="M86" i="3"/>
  <c r="H86" i="3"/>
  <c r="P86" i="3"/>
  <c r="L86" i="3"/>
  <c r="G86" i="3"/>
  <c r="D79" i="3"/>
  <c r="D82" i="3" s="1"/>
  <c r="C54" i="4" s="1"/>
  <c r="T86" i="3"/>
  <c r="D101" i="3"/>
  <c r="E101" i="3"/>
  <c r="F101" i="3"/>
  <c r="G101" i="3"/>
  <c r="H101" i="3"/>
  <c r="I101" i="3"/>
  <c r="J101" i="3"/>
  <c r="K101" i="3"/>
  <c r="L101" i="3"/>
  <c r="M101" i="3"/>
  <c r="N101" i="3"/>
  <c r="O101" i="3"/>
  <c r="P101" i="3"/>
  <c r="Q101" i="3"/>
  <c r="R101" i="3"/>
  <c r="S101" i="3"/>
  <c r="T101" i="3"/>
  <c r="F77" i="3"/>
  <c r="G77" i="3"/>
  <c r="N77" i="3"/>
  <c r="O77" i="3"/>
  <c r="E53" i="3"/>
  <c r="F53" i="3"/>
  <c r="G53" i="3"/>
  <c r="H53" i="3"/>
  <c r="J53" i="3"/>
  <c r="K53" i="3"/>
  <c r="L53" i="3"/>
  <c r="M53" i="3"/>
  <c r="N53" i="3"/>
  <c r="O53" i="3"/>
  <c r="P53" i="3"/>
  <c r="Q53" i="3"/>
  <c r="R53" i="3"/>
  <c r="S53" i="3"/>
  <c r="G8" i="4" l="1"/>
  <c r="Q8" i="4"/>
  <c r="P8" i="4"/>
  <c r="L8" i="4"/>
  <c r="F8" i="4"/>
  <c r="M8" i="4"/>
  <c r="I8" i="4"/>
  <c r="K8" i="4"/>
  <c r="D8" i="4"/>
  <c r="O8" i="4"/>
  <c r="J8" i="4"/>
  <c r="C9" i="4"/>
  <c r="E8" i="4"/>
  <c r="R8" i="4"/>
  <c r="N8" i="4"/>
  <c r="C5" i="4"/>
  <c r="X12" i="4" s="1"/>
  <c r="S8" i="4"/>
  <c r="E69" i="3"/>
  <c r="R69" i="3"/>
  <c r="J69" i="3"/>
  <c r="F69" i="3"/>
  <c r="S69" i="3"/>
  <c r="S85" i="3" s="1"/>
  <c r="O69" i="3"/>
  <c r="O85" i="3" s="1"/>
  <c r="K69" i="3"/>
  <c r="G69" i="3"/>
  <c r="P69" i="3"/>
  <c r="L69" i="3"/>
  <c r="L85" i="3" s="1"/>
  <c r="H69" i="3"/>
  <c r="N69" i="3"/>
  <c r="R77" i="3"/>
  <c r="S77" i="3"/>
  <c r="K77" i="3"/>
  <c r="J77" i="3"/>
  <c r="M69" i="3"/>
  <c r="Q69" i="3"/>
  <c r="Q77" i="3"/>
  <c r="M77" i="3"/>
  <c r="E77" i="3"/>
  <c r="I69" i="3"/>
  <c r="T69" i="3"/>
  <c r="T77" i="3"/>
  <c r="P77" i="3"/>
  <c r="L77" i="3"/>
  <c r="H77" i="3"/>
  <c r="U12" i="4" l="1"/>
  <c r="Y12" i="4"/>
  <c r="T12" i="4"/>
  <c r="F85" i="3"/>
  <c r="F87" i="3" s="1"/>
  <c r="H85" i="3"/>
  <c r="H87" i="3" s="1"/>
  <c r="J85" i="3"/>
  <c r="J87" i="3" s="1"/>
  <c r="I85" i="3"/>
  <c r="Q85" i="3"/>
  <c r="Q87" i="3" s="1"/>
  <c r="P9" i="4" s="1"/>
  <c r="P85" i="3"/>
  <c r="P87" i="3" s="1"/>
  <c r="E85" i="3"/>
  <c r="N85" i="3"/>
  <c r="N87" i="3" s="1"/>
  <c r="R85" i="3"/>
  <c r="M85" i="3"/>
  <c r="M87" i="3" s="1"/>
  <c r="G85" i="3"/>
  <c r="G87" i="3" s="1"/>
  <c r="T85" i="3"/>
  <c r="S7" i="4" s="1"/>
  <c r="K85" i="3"/>
  <c r="J7" i="4" s="1"/>
  <c r="K7" i="4"/>
  <c r="L87" i="3"/>
  <c r="R7" i="4"/>
  <c r="S87" i="3"/>
  <c r="O7" i="4"/>
  <c r="N7" i="4"/>
  <c r="O87" i="3"/>
  <c r="O80" i="3"/>
  <c r="L79" i="3"/>
  <c r="L82" i="3" s="1"/>
  <c r="K54" i="4" s="1"/>
  <c r="S79" i="3"/>
  <c r="S82" i="3" s="1"/>
  <c r="R54" i="4" s="1"/>
  <c r="L80" i="3"/>
  <c r="N80" i="3"/>
  <c r="P80" i="3"/>
  <c r="F80" i="3"/>
  <c r="F79" i="3"/>
  <c r="J79" i="3"/>
  <c r="J80" i="3"/>
  <c r="R79" i="3"/>
  <c r="R80" i="3"/>
  <c r="P79" i="3"/>
  <c r="S80" i="3"/>
  <c r="H80" i="3"/>
  <c r="G80" i="3"/>
  <c r="G79" i="3"/>
  <c r="D80" i="3"/>
  <c r="K79" i="3"/>
  <c r="N79" i="3"/>
  <c r="O79" i="3"/>
  <c r="H79" i="3"/>
  <c r="K80" i="3"/>
  <c r="T80" i="3"/>
  <c r="T79" i="3"/>
  <c r="E79" i="3"/>
  <c r="E80" i="3"/>
  <c r="M79" i="3"/>
  <c r="M80" i="3"/>
  <c r="I79" i="3"/>
  <c r="I80" i="3"/>
  <c r="Q79" i="3"/>
  <c r="Q80" i="3"/>
  <c r="K87" i="3" l="1"/>
  <c r="J9" i="4" s="1"/>
  <c r="P7" i="4"/>
  <c r="E7" i="4"/>
  <c r="E9" i="4"/>
  <c r="R87" i="3"/>
  <c r="Q7" i="4"/>
  <c r="L7" i="4"/>
  <c r="G7" i="4"/>
  <c r="F7" i="4"/>
  <c r="F9" i="4"/>
  <c r="E87" i="3"/>
  <c r="D9" i="4" s="1"/>
  <c r="I7" i="4"/>
  <c r="D7" i="4"/>
  <c r="T87" i="3"/>
  <c r="S9" i="4" s="1"/>
  <c r="M9" i="4"/>
  <c r="M7" i="4"/>
  <c r="H7" i="4"/>
  <c r="I87" i="3"/>
  <c r="K9" i="4"/>
  <c r="L9" i="4"/>
  <c r="I9" i="4"/>
  <c r="G9" i="4"/>
  <c r="E82" i="3"/>
  <c r="D54" i="4" s="1"/>
  <c r="D5" i="4"/>
  <c r="D12" i="4" s="1"/>
  <c r="G82" i="3"/>
  <c r="F54" i="4" s="1"/>
  <c r="F5" i="4"/>
  <c r="F12" i="4" s="1"/>
  <c r="G5" i="4"/>
  <c r="G12" i="4" s="1"/>
  <c r="F82" i="3"/>
  <c r="E54" i="4" s="1"/>
  <c r="E5" i="4"/>
  <c r="E12" i="4" s="1"/>
  <c r="R9" i="4"/>
  <c r="Q9" i="4"/>
  <c r="O9" i="4"/>
  <c r="N9" i="4"/>
  <c r="R5" i="4"/>
  <c r="R12" i="4" s="1"/>
  <c r="S5" i="4"/>
  <c r="S12" i="4" s="1"/>
  <c r="N5" i="4"/>
  <c r="N12" i="4" s="1"/>
  <c r="L5" i="4"/>
  <c r="L12" i="4" s="1"/>
  <c r="P82" i="3"/>
  <c r="O54" i="4" s="1"/>
  <c r="O5" i="4"/>
  <c r="O12" i="4" s="1"/>
  <c r="P5" i="4"/>
  <c r="P12" i="4" s="1"/>
  <c r="M5" i="4"/>
  <c r="M12" i="4" s="1"/>
  <c r="J82" i="3"/>
  <c r="I54" i="4" s="1"/>
  <c r="I5" i="4"/>
  <c r="I12" i="4" s="1"/>
  <c r="K5" i="4"/>
  <c r="K12" i="4" s="1"/>
  <c r="J5" i="4"/>
  <c r="J12" i="4" s="1"/>
  <c r="R82" i="3"/>
  <c r="Q54" i="4" s="1"/>
  <c r="Q5" i="4"/>
  <c r="Q12" i="4" s="1"/>
  <c r="H5" i="4"/>
  <c r="H12" i="4" s="1"/>
  <c r="K82" i="3"/>
  <c r="J54" i="4" s="1"/>
  <c r="M82" i="3"/>
  <c r="L54" i="4" s="1"/>
  <c r="Q82" i="3"/>
  <c r="P54" i="4" s="1"/>
  <c r="T82" i="3"/>
  <c r="S54" i="4" s="1"/>
  <c r="N82" i="3"/>
  <c r="M54" i="4" s="1"/>
  <c r="O82" i="3"/>
  <c r="N54" i="4" s="1"/>
  <c r="H82" i="3"/>
  <c r="G54" i="4" s="1"/>
  <c r="I82" i="3"/>
  <c r="H54" i="4" s="1"/>
  <c r="H9" i="4" l="1"/>
</calcChain>
</file>

<file path=xl/sharedStrings.xml><?xml version="1.0" encoding="utf-8"?>
<sst xmlns="http://schemas.openxmlformats.org/spreadsheetml/2006/main" count="390" uniqueCount="245">
  <si>
    <t>Gypsum</t>
  </si>
  <si>
    <t>Used Oil</t>
  </si>
  <si>
    <t>Oil Filters</t>
  </si>
  <si>
    <t>Carpet &amp; Pad</t>
  </si>
  <si>
    <t>Miscellaneous</t>
  </si>
  <si>
    <t>Mattresses</t>
  </si>
  <si>
    <t>Roofing Material</t>
  </si>
  <si>
    <t>Electronics</t>
  </si>
  <si>
    <t>Landclearing Debris</t>
  </si>
  <si>
    <t>Cartons</t>
  </si>
  <si>
    <t>Solid Waste Generated (recoverable portion)</t>
  </si>
  <si>
    <t>Material &amp; Category</t>
  </si>
  <si>
    <t>Materials Collected for Recycling (tons):</t>
  </si>
  <si>
    <t>Solid Waste Disposed (recoverable portion - lbs/person/day)</t>
  </si>
  <si>
    <t>Asphalt &amp; Concrete</t>
  </si>
  <si>
    <t>Recovery Rate (%)</t>
  </si>
  <si>
    <t>Population</t>
  </si>
  <si>
    <t>Category</t>
  </si>
  <si>
    <t>MRW</t>
  </si>
  <si>
    <t>C&amp;D</t>
  </si>
  <si>
    <t>Glass</t>
  </si>
  <si>
    <t>Organics</t>
  </si>
  <si>
    <t>Paper</t>
  </si>
  <si>
    <t>Ash, Sand &amp; Dust</t>
  </si>
  <si>
    <t>Other</t>
  </si>
  <si>
    <t>Aluminum Cans</t>
  </si>
  <si>
    <t>Appliances/White Goods</t>
  </si>
  <si>
    <t>Other Ferrous Metal</t>
  </si>
  <si>
    <t>Steel Cans</t>
  </si>
  <si>
    <t>Antifreeze</t>
  </si>
  <si>
    <t>Food Processing Waste</t>
  </si>
  <si>
    <t>Food Scraps</t>
  </si>
  <si>
    <t>Yard Debris</t>
  </si>
  <si>
    <t>Plastic</t>
  </si>
  <si>
    <t>Textiles</t>
  </si>
  <si>
    <t>Tires</t>
  </si>
  <si>
    <t>Cardboard</t>
  </si>
  <si>
    <t>Newspaper</t>
  </si>
  <si>
    <t>Mixed Paper</t>
  </si>
  <si>
    <t>Other Recyclable Paper</t>
  </si>
  <si>
    <t>High Grade Paper</t>
  </si>
  <si>
    <t>Other Organics</t>
  </si>
  <si>
    <t>Agricultural Organics</t>
  </si>
  <si>
    <t>Other Nonferrous Metal</t>
  </si>
  <si>
    <t>Container Glass</t>
  </si>
  <si>
    <t>Auto Lead Acid Batteries</t>
  </si>
  <si>
    <t>Household Batteries</t>
  </si>
  <si>
    <t>Other Batteries</t>
  </si>
  <si>
    <t>Metal</t>
  </si>
  <si>
    <t>Mixed Plastics</t>
  </si>
  <si>
    <t>PET Plastics</t>
  </si>
  <si>
    <t>HDPE Plastics</t>
  </si>
  <si>
    <t>LDPE Plastics</t>
  </si>
  <si>
    <t>Other Recyclable Plastics</t>
  </si>
  <si>
    <t>Wood Waste</t>
  </si>
  <si>
    <t>Landclearing Debris burned for energy</t>
  </si>
  <si>
    <t>Other Fuels burned for energy</t>
  </si>
  <si>
    <t>Tires burned for energy</t>
  </si>
  <si>
    <t>Used Oil burned for energy</t>
  </si>
  <si>
    <t>Wood Waste burned for energy</t>
  </si>
  <si>
    <t>Clothing &amp; Household items reused</t>
  </si>
  <si>
    <t>Miscellaneous reused</t>
  </si>
  <si>
    <t>Paint reused</t>
  </si>
  <si>
    <t>Disposal &amp; Waste Generation (tons):</t>
  </si>
  <si>
    <t xml:space="preserve">MSW disposed </t>
  </si>
  <si>
    <t>Other Waste Types disposed (recoverable portion)</t>
  </si>
  <si>
    <t>Other Materials Collected for Recovery (tons):</t>
  </si>
  <si>
    <t>Non-recoverable Wastes disposed</t>
  </si>
  <si>
    <t>All Solid Waste disposed</t>
  </si>
  <si>
    <t>Overall Waste Generation (recoverable &amp; non-recoverable)</t>
  </si>
  <si>
    <t>Construction &amp; Demolition Materials reused</t>
  </si>
  <si>
    <t>Tires retreaded and/or reused</t>
  </si>
  <si>
    <t>Other Glass</t>
  </si>
  <si>
    <t>Industrial Organics</t>
  </si>
  <si>
    <t>Yard Debris &amp; Food mixed</t>
  </si>
  <si>
    <t>Construction &amp; Demolition Debris</t>
  </si>
  <si>
    <t>Used in asphalt production.</t>
  </si>
  <si>
    <t>While these materials are counted as recycled as reported by the recycling facility, the final disposition of some of this material may be burning in energy markets.</t>
  </si>
  <si>
    <t>Includes container glass recycled and used as aggregate.</t>
  </si>
  <si>
    <t>Includes window/flat, industrial and other glass.</t>
  </si>
  <si>
    <t>Includes steel "tinned" cans and other food cans.</t>
  </si>
  <si>
    <t>Previously "Batteries - Industrial".</t>
  </si>
  <si>
    <t xml:space="preserve">Includes asceptic packaging, tetra packs, and gable tops.  </t>
  </si>
  <si>
    <t xml:space="preserve">Includes post-industrial paper.  </t>
  </si>
  <si>
    <t>Includes Post-Industrial and Other Recyclable Plastics.</t>
  </si>
  <si>
    <t xml:space="preserve">Soils and soil blends excluded.  Not tracked prior to 1999. </t>
  </si>
  <si>
    <t>Included in recycled landclearing debris prior to 2006.</t>
  </si>
  <si>
    <t>Municipal solid waste &amp; commercial wastes.</t>
  </si>
  <si>
    <t>Includes waste types excluded from recovery rate calculation, such as contaminated soils, sewage sludge and asbestos.</t>
  </si>
  <si>
    <t>No data available prior to 2010.</t>
  </si>
  <si>
    <t>Other Materials Collected for Recovery</t>
  </si>
  <si>
    <t>Food recovered by food banks (rescued)</t>
  </si>
  <si>
    <t>Moderate risk waste such as used oil, antifreeze, and batteries.</t>
  </si>
  <si>
    <t>No information prior to 1994.  Includes all waste types reported on facility reports:  MSW, commercial, demolition, inert, wood, tires, medical, industrial, asbestos, sludge, contaminated soils, and other unclassified wastes.  Includes waste types excluded in recovery calculations.</t>
  </si>
  <si>
    <t>Meats, Fats &amp; Oils</t>
  </si>
  <si>
    <t>Disposal</t>
  </si>
  <si>
    <t>Total Reused Materials Reported</t>
  </si>
  <si>
    <t>Solid Waste Disposed (recoverable portion)</t>
  </si>
  <si>
    <t>Recovery Rate (new measure)</t>
  </si>
  <si>
    <t>Solid Waste Generated (recoverable portion - lbs/person/day)</t>
  </si>
  <si>
    <t>Other Organics land applied</t>
  </si>
  <si>
    <t>Other Organics anaerobically digested</t>
  </si>
  <si>
    <t>Recovery Rate Charts</t>
  </si>
  <si>
    <t>Waste Generation Charts</t>
  </si>
  <si>
    <t>Solid Waste Generated and Recovered in Washington - Tons, Per Capita, Recovery Rate</t>
  </si>
  <si>
    <t>Solid Waste Disposed (recoverable &amp; non-recoverable)</t>
  </si>
  <si>
    <t>Solid Waste Generated (recoverable &amp; non-recoverable)</t>
  </si>
  <si>
    <t>Reused Materials Reported (tons):</t>
  </si>
  <si>
    <t>Per Capita (lbs/person/day):</t>
  </si>
  <si>
    <t>Other Non-MSW Solid Waste disposed (recoverable portion)</t>
  </si>
  <si>
    <t>Materials Collected for Recycling</t>
  </si>
  <si>
    <t>Materials Collected for Recovery (total)</t>
  </si>
  <si>
    <t>Materials Collected for Recovery (lbs/person/day)</t>
  </si>
  <si>
    <t>Materials Collected for Recovery</t>
  </si>
  <si>
    <t>Solid Waste Disposed "Trash" (lbs/person/day)</t>
  </si>
  <si>
    <t>% increase in SW Generated since 2000</t>
  </si>
  <si>
    <t>% increase in population since 2000</t>
  </si>
  <si>
    <t xml:space="preserve">Prior to 2005, data included in "Other Organics" recycled or composted.  Includes food processing wastes such as cranberry waste; excludes potato dirt. </t>
  </si>
  <si>
    <t>Food Processing Waste anaerobically digested</t>
  </si>
  <si>
    <t>Food Processing Waste land applied</t>
  </si>
  <si>
    <t>Waste Generation &amp; Recovery Data - Background, Notes, Sources</t>
  </si>
  <si>
    <t>Category:  C&amp;D</t>
  </si>
  <si>
    <t>Category:  Glass</t>
  </si>
  <si>
    <t>Category:  Metal</t>
  </si>
  <si>
    <t>Category:  MRW</t>
  </si>
  <si>
    <t>Category:  Organics</t>
  </si>
  <si>
    <t>Category:  Other</t>
  </si>
  <si>
    <t>Category:  Paper</t>
  </si>
  <si>
    <t>Category:  Plastic</t>
  </si>
  <si>
    <t>Black and white newspaper, shredded newsprint, and including other paper normally distributed inside a newspaper such as colored advertisements, comics, and flyers.</t>
  </si>
  <si>
    <t>Brown uncoated paper with a wavy core and uncontaminated (no plastic lining or wax coating); and brown paper bags.</t>
  </si>
  <si>
    <t>Computer paper, white bond, copy paper, notebook paper, and some colored paper.</t>
  </si>
  <si>
    <t>All other potentially recyclable paper, such as envelopes, telephone books, paperback books, cereal boxes, laundry soap boxes, and magazines.</t>
  </si>
  <si>
    <t>Poly-coated beverage containers with plastic, foil, or wax lining, such as milk or juice cartons. This doesn’t include individual foil packets such as Capri Sun containers.</t>
  </si>
  <si>
    <t>Glass containers for food, beverage, and other material. Excludes refillable bottles.</t>
  </si>
  <si>
    <t>Polyethylene terephthalate–clear and colored beverage containers made from PET; coded (#1).</t>
  </si>
  <si>
    <t>High-density polyethylene–clear and colored containers made from HDPE; coded (#2).</t>
  </si>
  <si>
    <t>Low-density polyethylene–includes mustard and some other squeezable containers; coded (#4).  Includes plastic bags and plastic film.</t>
  </si>
  <si>
    <t>All other plastics; recyclable plastics not included above.</t>
  </si>
  <si>
    <t>Aluminum beverage cans.</t>
  </si>
  <si>
    <t>Magnetic metal items such as steel clothes hangers, sheet metal products, pipes, some automobile parts, auto bodies, and other miscellaneous, magnetic metal scraps.</t>
  </si>
  <si>
    <t>Copper tubing, brass fixtures, insulated wire, small auto parts such as generators, water pumps.  Aluminum other than beverage cans.</t>
  </si>
  <si>
    <t>Appliances, water heaters, or microwave ovens.</t>
  </si>
  <si>
    <t>Also called coolant, from vehicle engines.</t>
  </si>
  <si>
    <t>Automobile, truck, boat, motorcycle batteries.  Excludes industrial batteries.</t>
  </si>
  <si>
    <t>Includes: flashlight (Alkaline, Ni-Cad), and button batteries (lithium).</t>
  </si>
  <si>
    <t>Asphalt paving material and similar wastes; cement, concrete blocks, and concrete pieces.</t>
  </si>
  <si>
    <t>Mixed material generated as a result of a construction or demolition operation, including toilets, sinks, rock, brick, insulation, roofing, and combination materials. Exclude the following materials if possible: asphalt, concrete, metals, wood, carpet, and gypsum.</t>
  </si>
  <si>
    <t>Specify: food preparation wastes, food scraps, spoiled food, or donated edible food.</t>
  </si>
  <si>
    <t>Clothing and apparel, shop rags, and blankets.</t>
  </si>
  <si>
    <t>Material recovered for recycling that does not fit with any of the other materials on this list.</t>
  </si>
  <si>
    <t xml:space="preserve">Includes pre-consumer food processing waste and pre-consumer food waste that contains animal by-product that is source separated at the facility licensed to process food by the USDA, FDA or WSDA or other applicable agency.  Anaerobic digesters began reporting in 2009.  There is a reporting gap in 2014 for unknown reasons.   </t>
  </si>
  <si>
    <t>Includes meat, animal fat and used cooking oil collected for rendering or processing in commercial quantities.  Prior to 2008, included in Food Scraps category.</t>
  </si>
  <si>
    <t>Mixed woody debris including stumps, brush, and limbs from landclearing related to construction and/or logging at non-residential locations.  Please specify use of the material (chipped for mulch, burned for energy, etc.).</t>
  </si>
  <si>
    <t xml:space="preserve">Includes dimensional lumber, pallets, crates and other construction and demolition related materials that are reused.  </t>
  </si>
  <si>
    <t>Includes organics of industrial origin reported on annual reports, such as paper clarifier solids.  Prior to 2008, included in other organics category.</t>
  </si>
  <si>
    <t xml:space="preserve">Includes vegetative (from farm) organic waste, such as crop residues including grape vines and hop waste.  </t>
  </si>
  <si>
    <t>Automobile, truck, and bicycle tires.  Reports should specify if the material is re-treaded, reused, recycled, or burned for energy.  Baled tires are considered recycled.</t>
  </si>
  <si>
    <t>Automotive and other used motor oil.  Reports should specify if the material is re-refined/recycled, or burned for energy recovery or heat.</t>
  </si>
  <si>
    <t>Includes wood from construction or demolition, mill waste, sawdust and other wood used in composting, pallets, scrap lumber, wood toys, fencing, and crates.  Reports should specify if the material is composted, recycled, burned for energy recovery, or reused.</t>
  </si>
  <si>
    <t>Per Capita (lbs/person/day)</t>
  </si>
  <si>
    <t>Includes non-MSW wastes reported in homogeneous loads by MSW landfills and other landfill types; includes tires disposed in out-of-state landfills reported on recycling reports.  Does not include "cleanup" type wastes, such as contaminated soils and asbestos, or other non-recoverable wastes.  For 1999-2001, this includes waste reported by non-MSW landfills.</t>
  </si>
  <si>
    <t>Materials included: Container Glass and Other Glass.</t>
  </si>
  <si>
    <t>Materials included:  Aluminum Cans, Appliances/White Goods, Other Ferrous Metal, Other Nonferrous Metal, and Steel Cans.</t>
  </si>
  <si>
    <t>Materials included:  Cartons, Cardboard, High Grade Paper, Mixed Paper, Newspaper, and Other Recyclable Paper.</t>
  </si>
  <si>
    <t>Materials included:  Mixed Plastics, PET Plastics, HDPE Plastics, LDPE Plastics, and Other Recyclable Plastics.</t>
  </si>
  <si>
    <t>Moderate risk waste:  Materials included:  Antifreeze, Auto Lead Acid Batteries, Electronics, Fluorescent Light Bulbs, Household Batteries, Oil Filters, Other Batteries, Other Fuels, and Used Oil.</t>
  </si>
  <si>
    <t>Construction and demolition wastes.  Materials included:  Ash, Sand, &amp; Dust, Asphalt &amp; Concrete, Carpet &amp; Pad, Construction &amp; Demolition Debris, Gypsum, Landclearing Debris, Paint, Roofing Material, and Wood Waste.</t>
  </si>
  <si>
    <t>Materials included:  Agricultural Organics, Food Processing Waste, Food Scraps, Food recovered by food banks (rescued), Industrial Organics, Meats, Fats &amp; Oils, Other Organics, Yard Debris, and Yard Debris &amp; Food mixed.</t>
  </si>
  <si>
    <t>Materials included:  Clothing &amp; Household items, Mattresses, Miscellaneous, Photographic Films, Textiles, and Tires.</t>
  </si>
  <si>
    <t>Notes on Terms, Materials, Categories and Sources:</t>
  </si>
  <si>
    <t>The recovery rate calculation includes materials collected for recycling and other forms of recovery in the nominator, and the recoverable portion of solid wastes generated, incluidng municipal solid waste and other waste types disposed in the denominator.  Excludes materials collected for reuse.</t>
  </si>
  <si>
    <t>Pounds per person per day.</t>
  </si>
  <si>
    <t>Yard Debris burned for energy</t>
  </si>
  <si>
    <t>Hard drives from computer towers and laptops; display screens such as monitors, CRTs, or TVs; cell or mobile phones, keyboards, mice, printers, and other peripherals.</t>
  </si>
  <si>
    <t>Light Bulbs</t>
  </si>
  <si>
    <t xml:space="preserve">Paint </t>
  </si>
  <si>
    <t>Paint</t>
  </si>
  <si>
    <t xml:space="preserve">Includes mostly mercury-containing or fluorescent lamps, some high-intensity discharge (HID) and some other light bulbs.  Standard light bulbs are generally disposed of as garbage.  </t>
  </si>
  <si>
    <t>Prior to 2008, included in Other Organics category.  Retroactive adjustments for land applied wastes for 2000-2016 (see Other Organics land applied).</t>
  </si>
  <si>
    <t>Includes pre-consumer food waste such as pomace, sludges, and shells from food processing.  Retroactive adjustments for food waste pre-consumer anaerobically digested for 2000-2016.</t>
  </si>
  <si>
    <t>Includes post-consumer food that has reached the final consumer or consumer outlet such as restaurant, grocery store, school or hospital and been discarded; post-consumer food waste reported on annual recycling or compost reports as recycled or composted; excludes fats and oils collected for rendering or processing in commercial quantities.  Prior to 2008, this category included fats and oils reported for recycling.  Adjustment in 2011 for food waste pre-consumer anaerobically digested.</t>
  </si>
  <si>
    <t>Includes organic materials that do not fall under the above categories, such as mortalities, carcasses, other animal parts, manures and animal bedding.  Prior to 2008, includes agricultural organics and industrial organics.  Adjustments for manures listed as other organics anaerobically digested for 2000-2016.</t>
  </si>
  <si>
    <t>Anaerobic digesters</t>
  </si>
  <si>
    <t xml:space="preserve">Anaerobic digesters began reporting in 2009; there is a reporting gap in 2014 for unknown reasons.  Anaerobic digester data for 2009, 2010, 2015, 2016 were not included in recycling or recovery numbers. For 2011-2014, AD data was subtracted from the recycling/recovery data to create a separate category. </t>
  </si>
  <si>
    <t>Includes livestock manure, bedding and other non-food materials digested.  Reported in gallons as a slurry; the following calculation is applied:  # gallons x 8.3 pounds per gallon x 5% solids / 2000 pounds per ton.  See also Anaerobic digesters above.</t>
  </si>
  <si>
    <t>Land application</t>
  </si>
  <si>
    <t>For 2000-2016, land application data is backed out of recycling and recovery data.  See also Other Organics land applied.</t>
  </si>
  <si>
    <t xml:space="preserve">Prior to 2005, data included in "Other Organics" recycled or composted.  Includes agricultural wastes; excludes potato dirt. </t>
  </si>
  <si>
    <t>As reported.</t>
  </si>
  <si>
    <t>Data reported on annual reports from permitted solid waste disposal facilities regulated under chapter 173-351 and 173-350 WAC.</t>
  </si>
  <si>
    <t>Drywall, wallboard.  As reported.</t>
  </si>
  <si>
    <t>All types of mattresses reported as collected for recycling.</t>
  </si>
  <si>
    <t>Petroleum-based fuels as reported.  Can include gasoline, diesel, kerosene, butane, and others.</t>
  </si>
  <si>
    <t>Disposed materials reported in homogeneous loads by landfills and incinerators, that fall outside of the "municipal solid waste" designation.  Can include inert material, construction and demolition wastes, auto shredder residue, wood waste, medical wastes, tires, and more.</t>
  </si>
  <si>
    <t>Yard debris and food waste collected in mixed loads, as reported.</t>
  </si>
  <si>
    <t xml:space="preserve">Through 2016 alll paint reported as recovered was counted as reused based on MRW reports.  </t>
  </si>
  <si>
    <t>Commercial Sector</t>
  </si>
  <si>
    <t>Recovered Materials</t>
  </si>
  <si>
    <t>Residential Sector</t>
  </si>
  <si>
    <t>Reused Materials Reported</t>
  </si>
  <si>
    <t xml:space="preserve">Materials reported as reused on the recycling survey.  Reused materials do not count as solid waste as the facilities that handle these materials are generally not regulated as solid waste handling facilities. </t>
  </si>
  <si>
    <t>Solid Waste Recovered</t>
  </si>
  <si>
    <t>Burned for Energy</t>
  </si>
  <si>
    <t xml:space="preserve">Reused  </t>
  </si>
  <si>
    <t>Recycling</t>
  </si>
  <si>
    <t>See "Recycling".</t>
  </si>
  <si>
    <t>Composting</t>
  </si>
  <si>
    <t xml:space="preserve">Recovery  </t>
  </si>
  <si>
    <t>See "Recovery".</t>
  </si>
  <si>
    <t>All Sectors</t>
  </si>
  <si>
    <t>Organic Materials (Organics)</t>
  </si>
  <si>
    <t xml:space="preserve">Substances and products of biological origin that have the potential to be returned to the soil, turned into biofuels, bioenergy, or other products.  Organic materials in this dataset include landscaping and yard waste, food waste, manures, crop residues, and wood.  </t>
  </si>
  <si>
    <t>For this dataset, includes mattresses, photographic films, miscellaneous recyclables that did not fit well into the other categories, textiles, and tires.</t>
  </si>
  <si>
    <t>See "Recovered Materials".</t>
  </si>
  <si>
    <t>Recoverable</t>
  </si>
  <si>
    <t>Solid Waste Disposed</t>
  </si>
  <si>
    <t>Non-recoverable wastes disposed</t>
  </si>
  <si>
    <t>As reported.  Can include asphaltic roofing, tile, aluminum, plastic and others.</t>
  </si>
  <si>
    <t>Solid waste disposed in landfills and incinerators.  Alternate daily cover is considered a disposed material.</t>
  </si>
  <si>
    <t>Solid Waste Generated</t>
  </si>
  <si>
    <t>Includes materials collected for recycling, recovery and disposal.  Does not include materials that do not enter the solid waste system, such as reused materials or litter that is not picked up.</t>
  </si>
  <si>
    <t xml:space="preserve">Municipal yard debris, including woody debris from small-scale resid+C47ential yards/gardens, lawn clippings, garden trimmings, weeds, leaves and branches.  Can include some food waste if program is collecting this in the mix.  Reports should specify if the material is composted, recycled, or burned for energy. </t>
  </si>
  <si>
    <t>For this dataset, includes aluminum cans, appliances/white goods, other nonferrous metals, steel cans, and other ferrous metals.</t>
  </si>
  <si>
    <t>Sectors refers to the generator sector such as residential, commercial, institutional, and industrial.  This dataset includes residential and commercial sector data (see definitions below).</t>
  </si>
  <si>
    <t>Source:  Washington Ofice of Financial Management (OFM) inter-censal estimates through 2010 (latest census available), and post-censal estimates 2011 to present (https://www.ofm.wa.gov/washington-data-research/population-demographics/population-estimates/historical-estimates-april-1-population-and-housing-state-counties-and-cities).</t>
  </si>
  <si>
    <t>Includes source-separated materials that are reported as recovered and sent to facilities that burn the material for energy generation.  Does not include incineration, energy recovery, and waste to energy.  Does not include waste to fuel or conversion technologies such as anaerobic digestion and pyrolysis.</t>
  </si>
  <si>
    <t>Includes commercial generators of solid waste such as restaurants, office buildings and retail, institutions such as schools and hospitals, and industrial sites such as manufacturers.  The amount or percentage of commercial versus residential material is reported by recycling facilities.</t>
  </si>
  <si>
    <t>The biological degradation and transformation of organic solid waste under controlled conditions designed to promote aerobic decomposition.  Included in dataset as reported on compost reports.  On-site composting is only included in dataset if reported.  Backyard composting is not included in any measure of composting, recycling or recovery.</t>
  </si>
  <si>
    <t xml:space="preserve">Material that is diverted from the solid waste stream for the intended purpose of recycling, composting, burning source-separated materials for energy, anaerobic digestion, land application, and other beneficial uses.  </t>
  </si>
  <si>
    <t>Material is counted as recoverable in this dataset if it has been reported by recycling and recovery facilities in recent years.  See also "Recovery".</t>
  </si>
  <si>
    <t>Materials collected for recovery for recycling and other beneficial uses (see "Recovery" below).  Includes materials reported as collected for recycling.</t>
  </si>
  <si>
    <t>"Recycling" means transforming or remanufacturing waste materials into usable or marketable materials for use other than landfill disposal or incineration. Recycling includes processing waste materials to produce tangible commodities.  Includes material collected for recycling (as reported), composting, typical curbside recycling materials, and source-separated materials.</t>
  </si>
  <si>
    <t>Single-family and multifamily residences.</t>
  </si>
  <si>
    <t>“Reuse” means using an object or material again, either for its original purpose or for a similar purpose, without significantly altering the physical form of the object or material. Reuse is not solid waste handling, but separating materials from other solid wastes for reuse is solid waste handling. Use of solid waste as fill or alternative daily cover is not reuse.</t>
  </si>
  <si>
    <t>This worksheet contains background information on the State of Washington's solid waste reporting process. It also contains definitions of different waste types and solid waste terminology.</t>
  </si>
  <si>
    <t>Glass for reuse</t>
  </si>
  <si>
    <t>Appliances for reuse</t>
  </si>
  <si>
    <t xml:space="preserve"> </t>
  </si>
  <si>
    <t>Paint burned for energy</t>
  </si>
  <si>
    <t>Includes "cleanup" type wastes, such as contaminated soils, biosolids, and asbestos; reported by MSW landfills and other landfill types.  For 1999-2001, this includes waste reported by non-MSW landfills.</t>
  </si>
  <si>
    <t>This worksheet contains data on the tons of each waste type recycled, disposed, and recovered in Washington for years 2000-2022. Data from 2019 and 2020 is currently unavailable and is not included. It also includes information on per capita waste generation.</t>
  </si>
  <si>
    <t>This worksheet contains one table and three graphs that describe the amount of solid waste generated, and one table and two graphs showing the recovery rate in Washington over time.  Data begins in the year 2000 and goes through 2022. Data from 2019 and 2020 is currently unavailable and is not included.</t>
  </si>
  <si>
    <r>
      <rPr>
        <b/>
        <sz val="10"/>
        <color theme="1" tint="0.34998626667073579"/>
        <rFont val="Arial"/>
        <family val="2"/>
      </rPr>
      <t xml:space="preserve">Background Information:  </t>
    </r>
    <r>
      <rPr>
        <sz val="10"/>
        <color theme="1" tint="0.34998626667073579"/>
        <rFont val="Arial"/>
        <family val="2"/>
      </rPr>
      <t xml:space="preserve">
The Washington Department of Ecology established the recycling survey in 1986.  Later versions of the survey counted materials as they emerged as commodities and were reported by facilities.  The two rates calculated until 2016 were the MSW recycling and diversion rates.  With the release of the 2016 data, the term "diversion" was changed to "recovery" to reflect the beneficial uses of materials collected.  
For this dataset, the materials collected for recycling under Washington solid waste handling regulations are counted as </t>
    </r>
    <r>
      <rPr>
        <i/>
        <sz val="10"/>
        <color theme="1" tint="0.34998626667073579"/>
        <rFont val="Arial"/>
        <family val="2"/>
      </rPr>
      <t>recycling</t>
    </r>
    <r>
      <rPr>
        <sz val="10"/>
        <color theme="1" tint="0.34998626667073579"/>
        <rFont val="Arial"/>
        <family val="2"/>
      </rPr>
      <t xml:space="preserve"> (see tab 1, "Waste Gen Recovery Data").  Materials reported as burned for energy, anaerobically digested and land applied under solid waste permits are counted as </t>
    </r>
    <r>
      <rPr>
        <i/>
        <sz val="10"/>
        <color theme="1" tint="0.34998626667073579"/>
        <rFont val="Arial"/>
        <family val="2"/>
      </rPr>
      <t>recovery</t>
    </r>
    <r>
      <rPr>
        <sz val="10"/>
        <color theme="1" tint="0.34998626667073579"/>
        <rFont val="Arial"/>
        <family val="2"/>
      </rPr>
      <t xml:space="preserve">.  Materials reported as </t>
    </r>
    <r>
      <rPr>
        <i/>
        <sz val="10"/>
        <color theme="1" tint="0.34998626667073579"/>
        <rFont val="Arial"/>
        <family val="2"/>
      </rPr>
      <t>reused</t>
    </r>
    <r>
      <rPr>
        <sz val="10"/>
        <color theme="1" tint="0.34998626667073579"/>
        <rFont val="Arial"/>
        <family val="2"/>
      </rPr>
      <t xml:space="preserve"> are tallied separately and excluded from counting as recycling or recovery.  This breakdown is applied retroactively for the 2000 to 2016 data and going forward.  For more information on counting methods, a Frequently Asked Questions (FAQ) document is available upon request.
Data is reported by recycling, composting, land application and anaerobic digestion facilities regulated under chapter 173-350 WAC, disposal facilities regulated under chapter 173-351 and 173-350 WAC, and recycling survey respondents handling solid waste material generated in Washington state.  Facility type and reported process determines how material is counted (recycling or other recovery).  Units are in tons unless otherwise indicated.  Data is adjusted for double-counting.
For more information please contact Megan Brady at megan.brady@ecy.wa.gov.</t>
    </r>
  </si>
  <si>
    <t>Washington Department of Ecology (version 4/23/2025)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</si>
</sst>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_(* #,##0_);_(* \(#,##0\);_(* &quot;-&quot;??_);_(@_)"/>
    <numFmt numFmtId="165" formatCode="0.0%"/>
    <numFmt numFmtId="166" formatCode="0.0"/>
  </numFmts>
  <fonts count="5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10"/>
      <color indexed="8"/>
      <name val="Arial"/>
      <family val="2"/>
    </font>
    <font>
      <sz val="10"/>
      <name val="Arial"/>
      <family val="2"/>
    </font>
    <font>
      <b/>
      <sz val="10"/>
      <color rgb="FFFF0000"/>
      <name val="Arial"/>
      <family val="2"/>
    </font>
    <font>
      <sz val="10"/>
      <color rgb="FFFF000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i/>
      <sz val="10"/>
      <color rgb="FF7F7F7F"/>
      <name val="Arial"/>
      <family val="2"/>
    </font>
    <font>
      <b/>
      <sz val="10"/>
      <color theme="1"/>
      <name val="Arial"/>
      <family val="2"/>
    </font>
    <font>
      <sz val="10"/>
      <color theme="0"/>
      <name val="Arial"/>
      <family val="2"/>
    </font>
    <font>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tint="0.34998626667073579"/>
      <name val="Arial"/>
      <family val="2"/>
    </font>
    <font>
      <sz val="10"/>
      <color theme="1" tint="0.34998626667073579"/>
      <name val="Arial"/>
      <family val="2"/>
    </font>
    <font>
      <b/>
      <sz val="10"/>
      <color theme="8" tint="-0.249977111117893"/>
      <name val="Arial"/>
      <family val="2"/>
    </font>
    <font>
      <sz val="10"/>
      <color theme="8" tint="-0.249977111117893"/>
      <name val="Arial"/>
      <family val="2"/>
    </font>
    <font>
      <b/>
      <sz val="12"/>
      <color theme="1" tint="0.34998626667073579"/>
      <name val="Arial"/>
      <family val="2"/>
    </font>
    <font>
      <b/>
      <i/>
      <sz val="10"/>
      <color theme="1" tint="0.34998626667073579"/>
      <name val="Arial"/>
      <family val="2"/>
    </font>
    <font>
      <i/>
      <sz val="10"/>
      <color theme="1" tint="0.34998626667073579"/>
      <name val="Arial"/>
      <family val="2"/>
    </font>
    <font>
      <i/>
      <sz val="8"/>
      <name val="Arial"/>
      <family val="2"/>
    </font>
    <font>
      <b/>
      <sz val="12"/>
      <name val="Arial"/>
      <family val="2"/>
    </font>
    <font>
      <sz val="10"/>
      <color theme="1" tint="0.499984740745262"/>
      <name val="Arial"/>
      <family val="2"/>
    </font>
    <font>
      <b/>
      <sz val="10"/>
      <color theme="1" tint="0.499984740745262"/>
      <name val="Arial"/>
      <family val="2"/>
    </font>
    <font>
      <sz val="11"/>
      <color rgb="FF00000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55">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22"/>
      </right>
      <top style="thin">
        <color indexed="22"/>
      </top>
      <bottom style="thin">
        <color indexed="22"/>
      </bottom>
      <diagonal/>
    </border>
    <border>
      <left/>
      <right/>
      <top style="thin">
        <color indexed="22"/>
      </top>
      <bottom style="thin">
        <color indexed="64"/>
      </bottom>
      <diagonal/>
    </border>
    <border>
      <left style="medium">
        <color indexed="64"/>
      </left>
      <right style="thin">
        <color indexed="64"/>
      </right>
      <top style="thin">
        <color indexed="22"/>
      </top>
      <bottom style="thin">
        <color indexed="22"/>
      </bottom>
      <diagonal/>
    </border>
    <border>
      <left style="medium">
        <color indexed="64"/>
      </left>
      <right style="thin">
        <color indexed="64"/>
      </right>
      <top style="thin">
        <color indexed="22"/>
      </top>
      <bottom style="thin">
        <color indexed="64"/>
      </bottom>
      <diagonal/>
    </border>
    <border>
      <left style="thin">
        <color rgb="FF7F7F7F"/>
      </left>
      <right style="thin">
        <color rgb="FF7F7F7F"/>
      </right>
      <top style="thin">
        <color rgb="FF7F7F7F"/>
      </top>
      <bottom style="medium">
        <color indexed="64"/>
      </bottom>
      <diagonal/>
    </border>
    <border>
      <left style="thin">
        <color rgb="FF7F7F7F"/>
      </left>
      <right style="medium">
        <color indexed="64"/>
      </right>
      <top style="thin">
        <color rgb="FF7F7F7F"/>
      </top>
      <bottom style="medium">
        <color indexed="64"/>
      </bottom>
      <diagonal/>
    </border>
    <border>
      <left style="thin">
        <color rgb="FF7F7F7F"/>
      </left>
      <right style="medium">
        <color indexed="64"/>
      </right>
      <top style="thin">
        <color rgb="FF7F7F7F"/>
      </top>
      <bottom style="thin">
        <color rgb="FF7F7F7F"/>
      </bottom>
      <diagonal/>
    </border>
    <border>
      <left style="thin">
        <color rgb="FF7F7F7F"/>
      </left>
      <right style="medium">
        <color indexed="64"/>
      </right>
      <top style="thin">
        <color rgb="FF7F7F7F"/>
      </top>
      <bottom style="thin">
        <color indexed="64"/>
      </bottom>
      <diagonal/>
    </border>
    <border>
      <left style="thin">
        <color rgb="FF7F7F7F"/>
      </left>
      <right style="thin">
        <color rgb="FF7F7F7F"/>
      </right>
      <top style="thin">
        <color rgb="FF7F7F7F"/>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top style="thin">
        <color rgb="FF7F7F7F"/>
      </top>
      <bottom style="thin">
        <color indexed="64"/>
      </bottom>
      <diagonal/>
    </border>
    <border>
      <left style="thin">
        <color rgb="FF7F7F7F"/>
      </left>
      <right/>
      <top style="thin">
        <color rgb="FF7F7F7F"/>
      </top>
      <bottom style="medium">
        <color indexed="64"/>
      </bottom>
      <diagonal/>
    </border>
    <border>
      <left style="thin">
        <color rgb="FF7F7F7F"/>
      </left>
      <right/>
      <top style="thin">
        <color rgb="FF7F7F7F"/>
      </top>
      <bottom style="thin">
        <color rgb="FF7F7F7F"/>
      </bottom>
      <diagonal/>
    </border>
    <border>
      <left style="thin">
        <color rgb="FF7F7F7F"/>
      </left>
      <right style="medium">
        <color indexed="64"/>
      </right>
      <top style="thin">
        <color indexed="64"/>
      </top>
      <bottom style="thin">
        <color rgb="FF7F7F7F"/>
      </bottom>
      <diagonal/>
    </border>
    <border>
      <left/>
      <right style="medium">
        <color indexed="64"/>
      </right>
      <top style="thin">
        <color indexed="64"/>
      </top>
      <bottom/>
      <diagonal/>
    </border>
    <border>
      <left/>
      <right style="medium">
        <color indexed="64"/>
      </right>
      <top style="thin">
        <color rgb="FF7F7F7F"/>
      </top>
      <bottom/>
      <diagonal/>
    </border>
  </borders>
  <cellStyleXfs count="593">
    <xf numFmtId="0" fontId="0" fillId="0" borderId="0"/>
    <xf numFmtId="43" fontId="8" fillId="0" borderId="0" applyFont="0" applyFill="0" applyBorder="0" applyAlignment="0" applyProtection="0"/>
    <xf numFmtId="43" fontId="10" fillId="0" borderId="0" applyFont="0" applyFill="0" applyBorder="0" applyAlignment="0" applyProtection="0"/>
    <xf numFmtId="0" fontId="10" fillId="0" borderId="0"/>
    <xf numFmtId="0" fontId="9" fillId="0" borderId="0"/>
    <xf numFmtId="0" fontId="9" fillId="0" borderId="0"/>
    <xf numFmtId="9" fontId="8" fillId="0" borderId="0" applyFont="0" applyFill="0" applyBorder="0" applyAlignment="0" applyProtection="0"/>
    <xf numFmtId="0" fontId="7" fillId="0" borderId="0"/>
    <xf numFmtId="0" fontId="6" fillId="0" borderId="0"/>
    <xf numFmtId="43" fontId="6" fillId="0" borderId="0" applyFont="0" applyFill="0" applyBorder="0" applyAlignment="0" applyProtection="0"/>
    <xf numFmtId="0" fontId="8" fillId="0" borderId="0"/>
    <xf numFmtId="0" fontId="6" fillId="0" borderId="0"/>
    <xf numFmtId="0" fontId="5" fillId="0" borderId="0"/>
    <xf numFmtId="0" fontId="5"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0" fontId="5" fillId="0" borderId="0"/>
    <xf numFmtId="0" fontId="5" fillId="0" borderId="0"/>
    <xf numFmtId="43" fontId="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5" fillId="0" borderId="0"/>
    <xf numFmtId="0" fontId="5" fillId="0" borderId="0"/>
    <xf numFmtId="43" fontId="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8" fillId="0" borderId="0" applyFont="0" applyFill="0" applyBorder="0" applyAlignment="0" applyProtection="0"/>
    <xf numFmtId="0" fontId="5" fillId="0" borderId="0"/>
    <xf numFmtId="0" fontId="5" fillId="0" borderId="0"/>
    <xf numFmtId="0" fontId="8" fillId="0" borderId="0"/>
    <xf numFmtId="0" fontId="5" fillId="0" borderId="0"/>
    <xf numFmtId="0" fontId="5" fillId="0" borderId="0"/>
    <xf numFmtId="43" fontId="8" fillId="0" borderId="0" applyFont="0" applyFill="0" applyBorder="0" applyAlignment="0" applyProtection="0"/>
    <xf numFmtId="0" fontId="5" fillId="0" borderId="0"/>
    <xf numFmtId="0" fontId="5" fillId="0" borderId="0"/>
    <xf numFmtId="0" fontId="8" fillId="0" borderId="0"/>
    <xf numFmtId="0" fontId="5" fillId="0" borderId="0"/>
    <xf numFmtId="0" fontId="5" fillId="0" borderId="0"/>
    <xf numFmtId="43" fontId="8" fillId="0" borderId="0" applyFont="0" applyFill="0" applyBorder="0" applyAlignment="0" applyProtection="0"/>
    <xf numFmtId="0" fontId="5" fillId="0" borderId="0"/>
    <xf numFmtId="0" fontId="5" fillId="0" borderId="0"/>
    <xf numFmtId="0" fontId="8" fillId="0" borderId="0"/>
    <xf numFmtId="0" fontId="5" fillId="0" borderId="0"/>
    <xf numFmtId="0" fontId="5" fillId="0" borderId="0"/>
    <xf numFmtId="43" fontId="8" fillId="0" borderId="0" applyFont="0" applyFill="0" applyBorder="0" applyAlignment="0" applyProtection="0"/>
    <xf numFmtId="0" fontId="5" fillId="0" borderId="0"/>
    <xf numFmtId="0" fontId="8" fillId="0" borderId="0"/>
    <xf numFmtId="0" fontId="5" fillId="0" borderId="0"/>
    <xf numFmtId="0" fontId="5" fillId="0" borderId="0"/>
    <xf numFmtId="43" fontId="8" fillId="0" borderId="0" applyFont="0" applyFill="0" applyBorder="0" applyAlignment="0" applyProtection="0"/>
    <xf numFmtId="0" fontId="5" fillId="0" borderId="0"/>
    <xf numFmtId="0" fontId="8" fillId="0" borderId="0"/>
    <xf numFmtId="0" fontId="5" fillId="0" borderId="0"/>
    <xf numFmtId="0" fontId="5" fillId="0" borderId="0"/>
    <xf numFmtId="43" fontId="8" fillId="0" borderId="0" applyFont="0" applyFill="0" applyBorder="0" applyAlignment="0" applyProtection="0"/>
    <xf numFmtId="0" fontId="5" fillId="0" borderId="0"/>
    <xf numFmtId="0" fontId="8" fillId="0" borderId="0"/>
    <xf numFmtId="0" fontId="5" fillId="0" borderId="0"/>
    <xf numFmtId="0" fontId="5" fillId="0" borderId="0"/>
    <xf numFmtId="43" fontId="8" fillId="0" borderId="0" applyFont="0" applyFill="0" applyBorder="0" applyAlignment="0" applyProtection="0"/>
    <xf numFmtId="0" fontId="5" fillId="0" borderId="0"/>
    <xf numFmtId="0" fontId="8" fillId="0" borderId="0"/>
    <xf numFmtId="0" fontId="5" fillId="0" borderId="0"/>
    <xf numFmtId="0" fontId="5" fillId="0" borderId="0"/>
    <xf numFmtId="43" fontId="8" fillId="0" borderId="0" applyFont="0" applyFill="0" applyBorder="0" applyAlignment="0" applyProtection="0"/>
    <xf numFmtId="0" fontId="5" fillId="0" borderId="0"/>
    <xf numFmtId="0" fontId="8" fillId="0" borderId="0"/>
    <xf numFmtId="0" fontId="5" fillId="0" borderId="0"/>
    <xf numFmtId="0" fontId="5" fillId="0" borderId="0"/>
    <xf numFmtId="43" fontId="8" fillId="0" borderId="0" applyFont="0" applyFill="0" applyBorder="0" applyAlignment="0" applyProtection="0"/>
    <xf numFmtId="0" fontId="5" fillId="0" borderId="0"/>
    <xf numFmtId="0" fontId="8" fillId="0" borderId="0"/>
    <xf numFmtId="0" fontId="5" fillId="0" borderId="0"/>
    <xf numFmtId="0" fontId="5" fillId="0" borderId="0"/>
    <xf numFmtId="43" fontId="8" fillId="0" borderId="0" applyFont="0" applyFill="0" applyBorder="0" applyAlignment="0" applyProtection="0"/>
    <xf numFmtId="0" fontId="8" fillId="0" borderId="0"/>
    <xf numFmtId="0" fontId="5" fillId="0" borderId="0"/>
    <xf numFmtId="0" fontId="5" fillId="0" borderId="0"/>
    <xf numFmtId="43" fontId="8" fillId="0" borderId="0" applyFont="0" applyFill="0" applyBorder="0" applyAlignment="0" applyProtection="0"/>
    <xf numFmtId="0" fontId="8" fillId="0" borderId="0"/>
    <xf numFmtId="0" fontId="5" fillId="0" borderId="0"/>
    <xf numFmtId="0" fontId="8"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0" fontId="13" fillId="0" borderId="0" applyNumberFormat="0" applyFill="0" applyBorder="0" applyAlignment="0" applyProtection="0"/>
    <xf numFmtId="0" fontId="14" fillId="0" borderId="10" applyNumberFormat="0" applyFill="0" applyAlignment="0" applyProtection="0"/>
    <xf numFmtId="0" fontId="15" fillId="0" borderId="11" applyNumberFormat="0" applyFill="0" applyAlignment="0" applyProtection="0"/>
    <xf numFmtId="0" fontId="16" fillId="0" borderId="12" applyNumberFormat="0" applyFill="0" applyAlignment="0" applyProtection="0"/>
    <xf numFmtId="0" fontId="16" fillId="0" borderId="0" applyNumberFormat="0" applyFill="0" applyBorder="0" applyAlignment="0" applyProtection="0"/>
    <xf numFmtId="0" fontId="17" fillId="2" borderId="0" applyNumberFormat="0" applyBorder="0" applyAlignment="0" applyProtection="0"/>
    <xf numFmtId="0" fontId="18" fillId="3" borderId="0" applyNumberFormat="0" applyBorder="0" applyAlignment="0" applyProtection="0"/>
    <xf numFmtId="0" fontId="19" fillId="4" borderId="0" applyNumberFormat="0" applyBorder="0" applyAlignment="0" applyProtection="0"/>
    <xf numFmtId="0" fontId="20" fillId="5" borderId="13" applyNumberFormat="0" applyAlignment="0" applyProtection="0"/>
    <xf numFmtId="0" fontId="21" fillId="6" borderId="14" applyNumberFormat="0" applyAlignment="0" applyProtection="0"/>
    <xf numFmtId="0" fontId="22" fillId="6" borderId="13" applyNumberFormat="0" applyAlignment="0" applyProtection="0"/>
    <xf numFmtId="0" fontId="23" fillId="0" borderId="15" applyNumberFormat="0" applyFill="0" applyAlignment="0" applyProtection="0"/>
    <xf numFmtId="0" fontId="24" fillId="7" borderId="16" applyNumberFormat="0" applyAlignment="0" applyProtection="0"/>
    <xf numFmtId="0" fontId="12" fillId="0" borderId="0" applyNumberFormat="0" applyFill="0" applyBorder="0" applyAlignment="0" applyProtection="0"/>
    <xf numFmtId="0" fontId="4" fillId="8" borderId="17" applyNumberFormat="0" applyFont="0" applyAlignment="0" applyProtection="0"/>
    <xf numFmtId="0" fontId="25" fillId="0" borderId="0" applyNumberFormat="0" applyFill="0" applyBorder="0" applyAlignment="0" applyProtection="0"/>
    <xf numFmtId="0" fontId="26" fillId="0" borderId="18" applyNumberFormat="0" applyFill="0" applyAlignment="0" applyProtection="0"/>
    <xf numFmtId="0" fontId="27"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7" fillId="32" borderId="0" applyNumberFormat="0" applyBorder="0" applyAlignment="0" applyProtection="0"/>
    <xf numFmtId="0" fontId="4" fillId="0" borderId="0"/>
    <xf numFmtId="0" fontId="3" fillId="0" borderId="0"/>
    <xf numFmtId="0" fontId="28" fillId="0" borderId="0"/>
    <xf numFmtId="43" fontId="8" fillId="0" borderId="0" applyFont="0" applyFill="0" applyBorder="0" applyAlignment="0" applyProtection="0"/>
    <xf numFmtId="9" fontId="8"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8"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3" fillId="0" borderId="0" applyFont="0" applyFill="0" applyBorder="0" applyAlignment="0" applyProtection="0"/>
    <xf numFmtId="0" fontId="2" fillId="0" borderId="0"/>
    <xf numFmtId="0" fontId="8" fillId="0" borderId="0"/>
    <xf numFmtId="9" fontId="2" fillId="0" borderId="0" applyFont="0" applyFill="0" applyBorder="0" applyAlignment="0" applyProtection="0"/>
    <xf numFmtId="0" fontId="29" fillId="0" borderId="10" applyNumberFormat="0" applyFill="0" applyAlignment="0" applyProtection="0"/>
    <xf numFmtId="0" fontId="30" fillId="0" borderId="11" applyNumberFormat="0" applyFill="0" applyAlignment="0" applyProtection="0"/>
    <xf numFmtId="0" fontId="31" fillId="0" borderId="12" applyNumberFormat="0" applyFill="0" applyAlignment="0" applyProtection="0"/>
    <xf numFmtId="0" fontId="31" fillId="0" borderId="0" applyNumberFormat="0" applyFill="0" applyBorder="0" applyAlignment="0" applyProtection="0"/>
    <xf numFmtId="0" fontId="32" fillId="2" borderId="0" applyNumberFormat="0" applyBorder="0" applyAlignment="0" applyProtection="0"/>
    <xf numFmtId="0" fontId="33" fillId="3" borderId="0" applyNumberFormat="0" applyBorder="0" applyAlignment="0" applyProtection="0"/>
    <xf numFmtId="0" fontId="34" fillId="4" borderId="0" applyNumberFormat="0" applyBorder="0" applyAlignment="0" applyProtection="0"/>
    <xf numFmtId="0" fontId="35" fillId="5" borderId="13" applyNumberFormat="0" applyAlignment="0" applyProtection="0"/>
    <xf numFmtId="0" fontId="36" fillId="6" borderId="14" applyNumberFormat="0" applyAlignment="0" applyProtection="0"/>
    <xf numFmtId="0" fontId="37" fillId="6" borderId="13" applyNumberFormat="0" applyAlignment="0" applyProtection="0"/>
    <xf numFmtId="0" fontId="38" fillId="0" borderId="15" applyNumberFormat="0" applyFill="0" applyAlignment="0" applyProtection="0"/>
    <xf numFmtId="0" fontId="39" fillId="7" borderId="16"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18" applyNumberFormat="0" applyFill="0" applyAlignment="0" applyProtection="0"/>
    <xf numFmtId="0" fontId="43"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43" fillId="12" borderId="0" applyNumberFormat="0" applyBorder="0" applyAlignment="0" applyProtection="0"/>
    <xf numFmtId="0" fontId="43"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43" fillId="16" borderId="0" applyNumberFormat="0" applyBorder="0" applyAlignment="0" applyProtection="0"/>
    <xf numFmtId="0" fontId="43"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43" fillId="20" borderId="0" applyNumberFormat="0" applyBorder="0" applyAlignment="0" applyProtection="0"/>
    <xf numFmtId="0" fontId="43"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43" fillId="24" borderId="0" applyNumberFormat="0" applyBorder="0" applyAlignment="0" applyProtection="0"/>
    <xf numFmtId="0" fontId="43"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43" fillId="28" borderId="0" applyNumberFormat="0" applyBorder="0" applyAlignment="0" applyProtection="0"/>
    <xf numFmtId="0" fontId="43"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43" fillId="32" borderId="0" applyNumberFormat="0" applyBorder="0" applyAlignment="0" applyProtection="0"/>
    <xf numFmtId="0" fontId="1" fillId="0" borderId="0"/>
    <xf numFmtId="0" fontId="1" fillId="8" borderId="17" applyNumberFormat="0" applyFont="0" applyAlignment="0" applyProtection="0"/>
    <xf numFmtId="0" fontId="1" fillId="0" borderId="0"/>
    <xf numFmtId="0" fontId="8" fillId="0" borderId="0"/>
    <xf numFmtId="0" fontId="9" fillId="0" borderId="0">
      <alignment vertical="top"/>
    </xf>
    <xf numFmtId="0" fontId="1" fillId="0" borderId="0"/>
    <xf numFmtId="0" fontId="8" fillId="0" borderId="0"/>
    <xf numFmtId="0" fontId="8" fillId="0" borderId="0"/>
    <xf numFmtId="0" fontId="8" fillId="0" borderId="0"/>
    <xf numFmtId="9" fontId="1" fillId="0" borderId="0" applyFont="0" applyFill="0" applyBorder="0" applyAlignment="0" applyProtection="0"/>
    <xf numFmtId="0" fontId="1" fillId="8" borderId="17" applyNumberFormat="0" applyFont="0" applyAlignment="0" applyProtection="0"/>
    <xf numFmtId="0" fontId="1" fillId="0" borderId="0"/>
    <xf numFmtId="0" fontId="55" fillId="0" borderId="0"/>
    <xf numFmtId="43" fontId="55" fillId="0" borderId="0" applyFont="0" applyFill="0" applyBorder="0" applyAlignment="0" applyProtection="0"/>
    <xf numFmtId="9" fontId="55" fillId="0" borderId="0" applyFont="0" applyFill="0" applyBorder="0" applyAlignment="0" applyProtection="0"/>
  </cellStyleXfs>
  <cellXfs count="142">
    <xf numFmtId="0" fontId="0" fillId="0" borderId="0" xfId="0"/>
    <xf numFmtId="0" fontId="44" fillId="0" borderId="0" xfId="0" applyFont="1"/>
    <xf numFmtId="0" fontId="45" fillId="0" borderId="0" xfId="0" applyFont="1"/>
    <xf numFmtId="164" fontId="45" fillId="0" borderId="0" xfId="1" applyNumberFormat="1" applyFont="1" applyFill="1" applyBorder="1"/>
    <xf numFmtId="10" fontId="44" fillId="0" borderId="0" xfId="0" applyNumberFormat="1" applyFont="1"/>
    <xf numFmtId="0" fontId="44" fillId="0" borderId="0" xfId="165" applyFont="1"/>
    <xf numFmtId="164" fontId="44" fillId="0" borderId="0" xfId="165" applyNumberFormat="1" applyFont="1"/>
    <xf numFmtId="164" fontId="45" fillId="0" borderId="0" xfId="0" applyNumberFormat="1" applyFont="1"/>
    <xf numFmtId="164" fontId="44" fillId="0" borderId="0" xfId="0" applyNumberFormat="1" applyFont="1"/>
    <xf numFmtId="0" fontId="45" fillId="0" borderId="0" xfId="165" applyFont="1"/>
    <xf numFmtId="0" fontId="44" fillId="0" borderId="0" xfId="0" applyFont="1" applyAlignment="1">
      <alignment horizontal="center"/>
    </xf>
    <xf numFmtId="0" fontId="44" fillId="0" borderId="0" xfId="165" applyFont="1" applyAlignment="1">
      <alignment horizontal="center"/>
    </xf>
    <xf numFmtId="164" fontId="44" fillId="0" borderId="4" xfId="0" applyNumberFormat="1" applyFont="1" applyBorder="1"/>
    <xf numFmtId="164" fontId="44" fillId="0" borderId="3" xfId="0" applyNumberFormat="1" applyFont="1" applyBorder="1"/>
    <xf numFmtId="164" fontId="44" fillId="0" borderId="5" xfId="0" applyNumberFormat="1" applyFont="1" applyBorder="1"/>
    <xf numFmtId="3" fontId="45" fillId="0" borderId="0" xfId="0" applyNumberFormat="1" applyFont="1"/>
    <xf numFmtId="0" fontId="12" fillId="0" borderId="0" xfId="0" applyFont="1"/>
    <xf numFmtId="164" fontId="44" fillId="0" borderId="6" xfId="0" applyNumberFormat="1" applyFont="1" applyBorder="1"/>
    <xf numFmtId="0" fontId="11" fillId="0" borderId="0" xfId="0" applyFont="1"/>
    <xf numFmtId="164" fontId="11" fillId="0" borderId="0" xfId="1" applyNumberFormat="1" applyFont="1" applyFill="1"/>
    <xf numFmtId="0" fontId="8" fillId="0" borderId="0" xfId="0" applyFont="1"/>
    <xf numFmtId="0" fontId="44" fillId="0" borderId="21" xfId="0" applyFont="1" applyBorder="1" applyAlignment="1">
      <alignment horizontal="center"/>
    </xf>
    <xf numFmtId="0" fontId="44" fillId="0" borderId="21" xfId="165" applyFont="1" applyBorder="1" applyAlignment="1">
      <alignment horizontal="center"/>
    </xf>
    <xf numFmtId="0" fontId="44" fillId="0" borderId="22" xfId="165" applyFont="1" applyBorder="1" applyAlignment="1">
      <alignment horizontal="center"/>
    </xf>
    <xf numFmtId="164" fontId="44" fillId="0" borderId="24" xfId="0" applyNumberFormat="1" applyFont="1" applyBorder="1"/>
    <xf numFmtId="166" fontId="45" fillId="0" borderId="0" xfId="0" applyNumberFormat="1" applyFont="1"/>
    <xf numFmtId="166" fontId="45" fillId="0" borderId="4" xfId="0" applyNumberFormat="1" applyFont="1" applyBorder="1"/>
    <xf numFmtId="0" fontId="47" fillId="0" borderId="0" xfId="0" applyFont="1"/>
    <xf numFmtId="0" fontId="46" fillId="0" borderId="0" xfId="0" applyFont="1"/>
    <xf numFmtId="3" fontId="44" fillId="0" borderId="0" xfId="0" applyNumberFormat="1" applyFont="1" applyAlignment="1">
      <alignment wrapText="1"/>
    </xf>
    <xf numFmtId="0" fontId="45" fillId="0" borderId="0" xfId="0" applyFont="1" applyAlignment="1">
      <alignment wrapText="1"/>
    </xf>
    <xf numFmtId="0" fontId="44" fillId="0" borderId="0" xfId="0" applyFont="1" applyAlignment="1">
      <alignment wrapText="1"/>
    </xf>
    <xf numFmtId="0" fontId="11" fillId="0" borderId="0" xfId="0" applyFont="1" applyAlignment="1">
      <alignment wrapText="1"/>
    </xf>
    <xf numFmtId="164" fontId="44" fillId="0" borderId="3" xfId="1" applyNumberFormat="1" applyFont="1" applyFill="1" applyBorder="1"/>
    <xf numFmtId="0" fontId="47" fillId="0" borderId="21" xfId="0" applyFont="1" applyBorder="1"/>
    <xf numFmtId="164" fontId="47" fillId="0" borderId="21" xfId="1" applyNumberFormat="1" applyFont="1" applyFill="1" applyBorder="1"/>
    <xf numFmtId="0" fontId="47" fillId="0" borderId="22" xfId="0" applyFont="1" applyBorder="1"/>
    <xf numFmtId="164" fontId="46" fillId="0" borderId="6" xfId="1" applyNumberFormat="1" applyFont="1" applyFill="1" applyBorder="1"/>
    <xf numFmtId="164" fontId="46" fillId="0" borderId="8" xfId="1" applyNumberFormat="1" applyFont="1" applyFill="1" applyBorder="1"/>
    <xf numFmtId="49" fontId="44" fillId="0" borderId="0" xfId="0" applyNumberFormat="1" applyFont="1" applyAlignment="1">
      <alignment wrapText="1"/>
    </xf>
    <xf numFmtId="165" fontId="44" fillId="0" borderId="24" xfId="6" applyNumberFormat="1" applyFont="1" applyFill="1" applyBorder="1"/>
    <xf numFmtId="165" fontId="44" fillId="0" borderId="25" xfId="6" applyNumberFormat="1" applyFont="1" applyFill="1" applyBorder="1"/>
    <xf numFmtId="0" fontId="45" fillId="0" borderId="0" xfId="0" applyFont="1" applyAlignment="1">
      <alignment vertical="top"/>
    </xf>
    <xf numFmtId="0" fontId="44" fillId="0" borderId="0" xfId="0" applyFont="1" applyAlignment="1">
      <alignment vertical="top"/>
    </xf>
    <xf numFmtId="0" fontId="45" fillId="0" borderId="0" xfId="0" applyFont="1" applyAlignment="1">
      <alignment horizontal="left" vertical="top" wrapText="1"/>
    </xf>
    <xf numFmtId="0" fontId="45" fillId="0" borderId="0" xfId="0" applyFont="1" applyAlignment="1">
      <alignment vertical="top" wrapText="1"/>
    </xf>
    <xf numFmtId="0" fontId="45" fillId="0" borderId="0" xfId="0" applyFont="1" applyAlignment="1">
      <alignment horizontal="left" wrapText="1"/>
    </xf>
    <xf numFmtId="0" fontId="48" fillId="0" borderId="0" xfId="0" applyFont="1" applyAlignment="1">
      <alignment vertical="top"/>
    </xf>
    <xf numFmtId="0" fontId="49" fillId="0" borderId="0" xfId="0" applyFont="1" applyAlignment="1">
      <alignment vertical="top"/>
    </xf>
    <xf numFmtId="165" fontId="44" fillId="0" borderId="0" xfId="6" applyNumberFormat="1" applyFont="1" applyFill="1" applyBorder="1"/>
    <xf numFmtId="0" fontId="51" fillId="0" borderId="0" xfId="0" applyFont="1"/>
    <xf numFmtId="164" fontId="44" fillId="0" borderId="9" xfId="0" applyNumberFormat="1" applyFont="1" applyBorder="1"/>
    <xf numFmtId="164" fontId="44" fillId="0" borderId="20" xfId="0" applyNumberFormat="1" applyFont="1" applyBorder="1"/>
    <xf numFmtId="0" fontId="44" fillId="0" borderId="29" xfId="0" applyFont="1" applyBorder="1" applyAlignment="1">
      <alignment horizontal="center"/>
    </xf>
    <xf numFmtId="0" fontId="44" fillId="0" borderId="29" xfId="165" applyFont="1" applyBorder="1" applyAlignment="1">
      <alignment horizontal="center"/>
    </xf>
    <xf numFmtId="0" fontId="44" fillId="0" borderId="30" xfId="165" applyFont="1" applyBorder="1" applyAlignment="1">
      <alignment horizontal="center"/>
    </xf>
    <xf numFmtId="166" fontId="45" fillId="0" borderId="9" xfId="0" applyNumberFormat="1" applyFont="1" applyBorder="1"/>
    <xf numFmtId="0" fontId="48" fillId="0" borderId="0" xfId="0" applyFont="1"/>
    <xf numFmtId="0" fontId="52" fillId="0" borderId="0" xfId="0" applyFont="1"/>
    <xf numFmtId="0" fontId="53" fillId="0" borderId="0" xfId="0" applyFont="1"/>
    <xf numFmtId="3" fontId="54" fillId="0" borderId="31" xfId="0" applyNumberFormat="1" applyFont="1" applyBorder="1"/>
    <xf numFmtId="0" fontId="53" fillId="0" borderId="32" xfId="0" applyFont="1" applyBorder="1"/>
    <xf numFmtId="9" fontId="53" fillId="0" borderId="33" xfId="6" applyFont="1" applyBorder="1"/>
    <xf numFmtId="3" fontId="54" fillId="0" borderId="34" xfId="0" applyNumberFormat="1" applyFont="1" applyBorder="1"/>
    <xf numFmtId="0" fontId="53" fillId="0" borderId="9" xfId="0" applyFont="1" applyBorder="1"/>
    <xf numFmtId="9" fontId="53" fillId="0" borderId="35" xfId="6" applyFont="1" applyBorder="1"/>
    <xf numFmtId="49" fontId="45" fillId="0" borderId="0" xfId="0" applyNumberFormat="1" applyFont="1" applyAlignment="1">
      <alignment horizontal="left" wrapText="1"/>
    </xf>
    <xf numFmtId="0" fontId="44" fillId="0" borderId="21" xfId="0" applyFont="1" applyBorder="1"/>
    <xf numFmtId="0" fontId="44" fillId="0" borderId="36" xfId="0" applyFont="1" applyBorder="1"/>
    <xf numFmtId="0" fontId="45" fillId="0" borderId="37" xfId="0" applyFont="1" applyBorder="1"/>
    <xf numFmtId="0" fontId="45" fillId="0" borderId="39" xfId="0" applyFont="1" applyBorder="1" applyAlignment="1">
      <alignment wrapText="1"/>
    </xf>
    <xf numFmtId="0" fontId="45" fillId="0" borderId="41" xfId="0" applyFont="1" applyBorder="1"/>
    <xf numFmtId="4" fontId="45" fillId="0" borderId="9" xfId="4" applyNumberFormat="1" applyFont="1" applyBorder="1" applyAlignment="1">
      <alignment wrapText="1"/>
    </xf>
    <xf numFmtId="0" fontId="45" fillId="0" borderId="9" xfId="0" applyFont="1" applyBorder="1" applyAlignment="1">
      <alignment wrapText="1"/>
    </xf>
    <xf numFmtId="0" fontId="44" fillId="0" borderId="9" xfId="0" applyFont="1" applyBorder="1" applyAlignment="1">
      <alignment wrapText="1"/>
    </xf>
    <xf numFmtId="4" fontId="45" fillId="0" borderId="37" xfId="4" applyNumberFormat="1" applyFont="1" applyBorder="1" applyAlignment="1">
      <alignment wrapText="1"/>
    </xf>
    <xf numFmtId="0" fontId="45" fillId="0" borderId="37" xfId="0" applyFont="1" applyBorder="1" applyAlignment="1">
      <alignment wrapText="1"/>
    </xf>
    <xf numFmtId="0" fontId="45" fillId="0" borderId="38" xfId="0" applyFont="1" applyBorder="1" applyAlignment="1">
      <alignment wrapText="1"/>
    </xf>
    <xf numFmtId="3" fontId="46" fillId="0" borderId="21" xfId="0" applyNumberFormat="1" applyFont="1" applyBorder="1" applyAlignment="1">
      <alignment wrapText="1"/>
    </xf>
    <xf numFmtId="0" fontId="47" fillId="0" borderId="0" xfId="0" applyFont="1" applyAlignment="1">
      <alignment wrapText="1"/>
    </xf>
    <xf numFmtId="0" fontId="47" fillId="0" borderId="0" xfId="5" applyFont="1" applyAlignment="1">
      <alignment wrapText="1"/>
    </xf>
    <xf numFmtId="3" fontId="46" fillId="0" borderId="36" xfId="0" applyNumberFormat="1" applyFont="1" applyBorder="1" applyAlignment="1">
      <alignment wrapText="1"/>
    </xf>
    <xf numFmtId="0" fontId="47" fillId="0" borderId="37" xfId="0" applyFont="1" applyBorder="1"/>
    <xf numFmtId="0" fontId="47" fillId="0" borderId="37" xfId="5" applyFont="1" applyBorder="1" applyAlignment="1">
      <alignment wrapText="1"/>
    </xf>
    <xf numFmtId="9" fontId="53" fillId="0" borderId="32" xfId="6" applyFont="1" applyBorder="1"/>
    <xf numFmtId="9" fontId="53" fillId="0" borderId="9" xfId="6" applyFont="1" applyBorder="1"/>
    <xf numFmtId="164" fontId="20" fillId="5" borderId="45" xfId="546" applyNumberFormat="1" applyFont="1" applyBorder="1"/>
    <xf numFmtId="0" fontId="45" fillId="0" borderId="38" xfId="0" applyFont="1" applyBorder="1"/>
    <xf numFmtId="164" fontId="20" fillId="5" borderId="47" xfId="546" applyNumberFormat="1" applyFont="1" applyBorder="1"/>
    <xf numFmtId="164" fontId="20" fillId="5" borderId="13" xfId="546" applyNumberFormat="1" applyFont="1"/>
    <xf numFmtId="37" fontId="20" fillId="5" borderId="13" xfId="546" applyNumberFormat="1" applyFont="1"/>
    <xf numFmtId="43" fontId="20" fillId="5" borderId="13" xfId="546" applyNumberFormat="1" applyFont="1"/>
    <xf numFmtId="164" fontId="20" fillId="5" borderId="46" xfId="546" applyNumberFormat="1" applyFont="1" applyBorder="1"/>
    <xf numFmtId="0" fontId="45" fillId="0" borderId="42" xfId="0" applyFont="1" applyBorder="1" applyAlignment="1">
      <alignment wrapText="1"/>
    </xf>
    <xf numFmtId="0" fontId="45" fillId="0" borderId="40" xfId="0" applyFont="1" applyBorder="1" applyAlignment="1">
      <alignment wrapText="1"/>
    </xf>
    <xf numFmtId="164" fontId="35" fillId="5" borderId="13" xfId="546" applyNumberFormat="1"/>
    <xf numFmtId="164" fontId="35" fillId="5" borderId="43" xfId="546" applyNumberFormat="1" applyBorder="1"/>
    <xf numFmtId="164" fontId="20" fillId="5" borderId="43" xfId="546" applyNumberFormat="1" applyFont="1" applyBorder="1"/>
    <xf numFmtId="164" fontId="20" fillId="5" borderId="44" xfId="546" applyNumberFormat="1" applyFont="1" applyBorder="1"/>
    <xf numFmtId="164" fontId="20" fillId="5" borderId="13" xfId="546" applyNumberFormat="1" applyFont="1" applyAlignment="1"/>
    <xf numFmtId="164" fontId="20" fillId="5" borderId="45" xfId="546" applyNumberFormat="1" applyFont="1" applyBorder="1" applyAlignment="1"/>
    <xf numFmtId="0" fontId="12" fillId="0" borderId="0" xfId="0" applyFont="1" applyAlignment="1">
      <alignment wrapText="1"/>
    </xf>
    <xf numFmtId="49" fontId="44" fillId="0" borderId="1" xfId="0" applyNumberFormat="1" applyFont="1" applyBorder="1" applyAlignment="1">
      <alignment horizontal="left" wrapText="1"/>
    </xf>
    <xf numFmtId="0" fontId="45" fillId="0" borderId="48" xfId="0" applyFont="1" applyBorder="1" applyAlignment="1">
      <alignment horizontal="left" vertical="top" wrapText="1"/>
    </xf>
    <xf numFmtId="0" fontId="45" fillId="0" borderId="48" xfId="5" applyFont="1" applyBorder="1" applyAlignment="1">
      <alignment horizontal="left" vertical="top" wrapText="1"/>
    </xf>
    <xf numFmtId="4" fontId="45" fillId="0" borderId="48" xfId="4" applyNumberFormat="1" applyFont="1" applyBorder="1" applyAlignment="1">
      <alignment horizontal="left" vertical="top" wrapText="1"/>
    </xf>
    <xf numFmtId="3" fontId="45" fillId="0" borderId="48" xfId="0" applyNumberFormat="1" applyFont="1" applyBorder="1" applyAlignment="1">
      <alignment horizontal="left" vertical="top" wrapText="1"/>
    </xf>
    <xf numFmtId="49" fontId="45" fillId="0" borderId="48" xfId="0" applyNumberFormat="1" applyFont="1" applyBorder="1" applyAlignment="1">
      <alignment horizontal="left" vertical="top" wrapText="1"/>
    </xf>
    <xf numFmtId="0" fontId="45" fillId="33" borderId="48" xfId="0" applyFont="1" applyFill="1" applyBorder="1" applyAlignment="1">
      <alignment horizontal="left" vertical="top" wrapText="1"/>
    </xf>
    <xf numFmtId="0" fontId="27" fillId="0" borderId="0" xfId="0" applyFont="1"/>
    <xf numFmtId="164" fontId="20" fillId="5" borderId="49" xfId="546" applyNumberFormat="1" applyFont="1" applyBorder="1"/>
    <xf numFmtId="164" fontId="20" fillId="5" borderId="50" xfId="546" applyNumberFormat="1" applyFont="1" applyBorder="1"/>
    <xf numFmtId="164" fontId="20" fillId="5" borderId="51" xfId="546" applyNumberFormat="1" applyFont="1" applyBorder="1"/>
    <xf numFmtId="164" fontId="20" fillId="5" borderId="51" xfId="546" applyNumberFormat="1" applyFont="1" applyBorder="1" applyAlignment="1"/>
    <xf numFmtId="164" fontId="20" fillId="5" borderId="52" xfId="546" applyNumberFormat="1" applyFont="1" applyBorder="1"/>
    <xf numFmtId="0" fontId="45" fillId="0" borderId="1" xfId="0" applyFont="1" applyBorder="1"/>
    <xf numFmtId="164" fontId="44" fillId="0" borderId="53" xfId="0" applyNumberFormat="1" applyFont="1" applyBorder="1"/>
    <xf numFmtId="164" fontId="44" fillId="0" borderId="8" xfId="1" applyNumberFormat="1" applyFont="1" applyFill="1" applyBorder="1"/>
    <xf numFmtId="164" fontId="44" fillId="0" borderId="54" xfId="0" applyNumberFormat="1" applyFont="1" applyBorder="1"/>
    <xf numFmtId="166" fontId="45" fillId="0" borderId="20" xfId="0" applyNumberFormat="1" applyFont="1" applyBorder="1"/>
    <xf numFmtId="0" fontId="44" fillId="0" borderId="23" xfId="0" applyFont="1" applyBorder="1"/>
    <xf numFmtId="0" fontId="44" fillId="0" borderId="2" xfId="0" applyFont="1" applyBorder="1" applyAlignment="1">
      <alignment horizontal="left"/>
    </xf>
    <xf numFmtId="0" fontId="44" fillId="0" borderId="3" xfId="0" applyFont="1" applyBorder="1" applyAlignment="1">
      <alignment horizontal="left"/>
    </xf>
    <xf numFmtId="49" fontId="44" fillId="0" borderId="1" xfId="0" applyNumberFormat="1" applyFont="1" applyBorder="1" applyAlignment="1">
      <alignment horizontal="left" wrapText="1"/>
    </xf>
    <xf numFmtId="49" fontId="44" fillId="0" borderId="0" xfId="0" applyNumberFormat="1" applyFont="1" applyAlignment="1">
      <alignment horizontal="left" wrapText="1"/>
    </xf>
    <xf numFmtId="3" fontId="44" fillId="0" borderId="2" xfId="0" applyNumberFormat="1" applyFont="1" applyBorder="1" applyAlignment="1">
      <alignment horizontal="left" wrapText="1"/>
    </xf>
    <xf numFmtId="3" fontId="44" fillId="0" borderId="3" xfId="0" applyNumberFormat="1" applyFont="1" applyBorder="1" applyAlignment="1">
      <alignment horizontal="left" wrapText="1"/>
    </xf>
    <xf numFmtId="0" fontId="46" fillId="0" borderId="7" xfId="0" applyFont="1" applyBorder="1" applyAlignment="1">
      <alignment horizontal="left" wrapText="1"/>
    </xf>
    <xf numFmtId="0" fontId="46" fillId="0" borderId="6" xfId="0" applyFont="1" applyBorder="1" applyAlignment="1">
      <alignment horizontal="left" wrapText="1"/>
    </xf>
    <xf numFmtId="3" fontId="45" fillId="0" borderId="1" xfId="0" applyNumberFormat="1" applyFont="1" applyBorder="1" applyAlignment="1">
      <alignment horizontal="left" wrapText="1"/>
    </xf>
    <xf numFmtId="3" fontId="45" fillId="0" borderId="0" xfId="0" applyNumberFormat="1" applyFont="1" applyAlignment="1">
      <alignment horizontal="left" wrapText="1"/>
    </xf>
    <xf numFmtId="3" fontId="45" fillId="0" borderId="19" xfId="0" applyNumberFormat="1" applyFont="1" applyBorder="1" applyAlignment="1">
      <alignment horizontal="left" wrapText="1"/>
    </xf>
    <xf numFmtId="3" fontId="45" fillId="0" borderId="9" xfId="0" applyNumberFormat="1" applyFont="1" applyBorder="1" applyAlignment="1">
      <alignment horizontal="left" wrapText="1"/>
    </xf>
    <xf numFmtId="49" fontId="45" fillId="0" borderId="7" xfId="0" applyNumberFormat="1" applyFont="1" applyBorder="1" applyAlignment="1">
      <alignment horizontal="left" wrapText="1"/>
    </xf>
    <xf numFmtId="49" fontId="45" fillId="0" borderId="6" xfId="0" applyNumberFormat="1" applyFont="1" applyBorder="1" applyAlignment="1">
      <alignment horizontal="left" wrapText="1"/>
    </xf>
    <xf numFmtId="49" fontId="44" fillId="0" borderId="26" xfId="0" applyNumberFormat="1" applyFont="1" applyBorder="1" applyAlignment="1">
      <alignment horizontal="left" wrapText="1"/>
    </xf>
    <xf numFmtId="49" fontId="44" fillId="0" borderId="29" xfId="0" applyNumberFormat="1" applyFont="1" applyBorder="1" applyAlignment="1">
      <alignment horizontal="left" wrapText="1"/>
    </xf>
    <xf numFmtId="0" fontId="44" fillId="0" borderId="23" xfId="0" applyFont="1" applyBorder="1" applyAlignment="1">
      <alignment horizontal="left" wrapText="1"/>
    </xf>
    <xf numFmtId="0" fontId="44" fillId="0" borderId="24" xfId="0" applyFont="1" applyBorder="1" applyAlignment="1">
      <alignment horizontal="left" wrapText="1"/>
    </xf>
    <xf numFmtId="0" fontId="45" fillId="0" borderId="27" xfId="0" applyFont="1" applyBorder="1" applyAlignment="1">
      <alignment horizontal="left" vertical="top" wrapText="1"/>
    </xf>
    <xf numFmtId="0" fontId="45" fillId="0" borderId="28" xfId="0" applyFont="1" applyBorder="1" applyAlignment="1">
      <alignment horizontal="left" vertical="top" wrapText="1"/>
    </xf>
    <xf numFmtId="0" fontId="44" fillId="0" borderId="48" xfId="0" applyFont="1" applyBorder="1" applyAlignment="1">
      <alignment horizontal="left" vertical="top"/>
    </xf>
  </cellXfs>
  <cellStyles count="593">
    <cellStyle name="20% - Accent1" xfId="555" builtinId="30" customBuiltin="1"/>
    <cellStyle name="20% - Accent1 2" xfId="140" xr:uid="{00000000-0005-0000-0000-000001000000}"/>
    <cellStyle name="20% - Accent2" xfId="559" builtinId="34" customBuiltin="1"/>
    <cellStyle name="20% - Accent2 2" xfId="144" xr:uid="{00000000-0005-0000-0000-000003000000}"/>
    <cellStyle name="20% - Accent3" xfId="563" builtinId="38" customBuiltin="1"/>
    <cellStyle name="20% - Accent3 2" xfId="148" xr:uid="{00000000-0005-0000-0000-000005000000}"/>
    <cellStyle name="20% - Accent4" xfId="567" builtinId="42" customBuiltin="1"/>
    <cellStyle name="20% - Accent4 2" xfId="152" xr:uid="{00000000-0005-0000-0000-000007000000}"/>
    <cellStyle name="20% - Accent5" xfId="571" builtinId="46" customBuiltin="1"/>
    <cellStyle name="20% - Accent5 2" xfId="156" xr:uid="{00000000-0005-0000-0000-000009000000}"/>
    <cellStyle name="20% - Accent6" xfId="575" builtinId="50" customBuiltin="1"/>
    <cellStyle name="20% - Accent6 2" xfId="160" xr:uid="{00000000-0005-0000-0000-00000B000000}"/>
    <cellStyle name="40% - Accent1" xfId="556" builtinId="31" customBuiltin="1"/>
    <cellStyle name="40% - Accent1 2" xfId="141" xr:uid="{00000000-0005-0000-0000-00000D000000}"/>
    <cellStyle name="40% - Accent2" xfId="560" builtinId="35" customBuiltin="1"/>
    <cellStyle name="40% - Accent2 2" xfId="145" xr:uid="{00000000-0005-0000-0000-00000F000000}"/>
    <cellStyle name="40% - Accent3" xfId="564" builtinId="39" customBuiltin="1"/>
    <cellStyle name="40% - Accent3 2" xfId="149" xr:uid="{00000000-0005-0000-0000-000011000000}"/>
    <cellStyle name="40% - Accent4" xfId="568" builtinId="43" customBuiltin="1"/>
    <cellStyle name="40% - Accent4 2" xfId="153" xr:uid="{00000000-0005-0000-0000-000013000000}"/>
    <cellStyle name="40% - Accent5" xfId="572" builtinId="47" customBuiltin="1"/>
    <cellStyle name="40% - Accent5 2" xfId="157" xr:uid="{00000000-0005-0000-0000-000015000000}"/>
    <cellStyle name="40% - Accent6" xfId="576" builtinId="51" customBuiltin="1"/>
    <cellStyle name="40% - Accent6 2" xfId="161" xr:uid="{00000000-0005-0000-0000-000017000000}"/>
    <cellStyle name="60% - Accent1" xfId="557" builtinId="32" customBuiltin="1"/>
    <cellStyle name="60% - Accent1 2" xfId="142" xr:uid="{00000000-0005-0000-0000-000019000000}"/>
    <cellStyle name="60% - Accent2" xfId="561" builtinId="36" customBuiltin="1"/>
    <cellStyle name="60% - Accent2 2" xfId="146" xr:uid="{00000000-0005-0000-0000-00001B000000}"/>
    <cellStyle name="60% - Accent3" xfId="565" builtinId="40" customBuiltin="1"/>
    <cellStyle name="60% - Accent3 2" xfId="150" xr:uid="{00000000-0005-0000-0000-00001D000000}"/>
    <cellStyle name="60% - Accent4" xfId="569" builtinId="44" customBuiltin="1"/>
    <cellStyle name="60% - Accent4 2" xfId="154" xr:uid="{00000000-0005-0000-0000-00001F000000}"/>
    <cellStyle name="60% - Accent5" xfId="573" builtinId="48" customBuiltin="1"/>
    <cellStyle name="60% - Accent5 2" xfId="158" xr:uid="{00000000-0005-0000-0000-000021000000}"/>
    <cellStyle name="60% - Accent6" xfId="577" builtinId="52" customBuiltin="1"/>
    <cellStyle name="60% - Accent6 2" xfId="162" xr:uid="{00000000-0005-0000-0000-000023000000}"/>
    <cellStyle name="Accent1" xfId="554" builtinId="29" customBuiltin="1"/>
    <cellStyle name="Accent1 2" xfId="139" xr:uid="{00000000-0005-0000-0000-000025000000}"/>
    <cellStyle name="Accent2" xfId="558" builtinId="33" customBuiltin="1"/>
    <cellStyle name="Accent2 2" xfId="143" xr:uid="{00000000-0005-0000-0000-000027000000}"/>
    <cellStyle name="Accent3" xfId="562" builtinId="37" customBuiltin="1"/>
    <cellStyle name="Accent3 2" xfId="147" xr:uid="{00000000-0005-0000-0000-000029000000}"/>
    <cellStyle name="Accent4" xfId="566" builtinId="41" customBuiltin="1"/>
    <cellStyle name="Accent4 2" xfId="151" xr:uid="{00000000-0005-0000-0000-00002B000000}"/>
    <cellStyle name="Accent5" xfId="570" builtinId="45" customBuiltin="1"/>
    <cellStyle name="Accent5 2" xfId="155" xr:uid="{00000000-0005-0000-0000-00002D000000}"/>
    <cellStyle name="Accent6" xfId="574" builtinId="49" customBuiltin="1"/>
    <cellStyle name="Accent6 2" xfId="159" xr:uid="{00000000-0005-0000-0000-00002F000000}"/>
    <cellStyle name="Bad" xfId="544" builtinId="27" customBuiltin="1"/>
    <cellStyle name="Bad 2" xfId="128" xr:uid="{00000000-0005-0000-0000-000031000000}"/>
    <cellStyle name="Calculation" xfId="548" builtinId="22" customBuiltin="1"/>
    <cellStyle name="Calculation 2" xfId="132" xr:uid="{00000000-0005-0000-0000-000033000000}"/>
    <cellStyle name="Check Cell" xfId="550" builtinId="23" customBuiltin="1"/>
    <cellStyle name="Check Cell 2" xfId="134" xr:uid="{00000000-0005-0000-0000-000035000000}"/>
    <cellStyle name="Comma" xfId="1" builtinId="3"/>
    <cellStyle name="Comma 2" xfId="2" xr:uid="{00000000-0005-0000-0000-000037000000}"/>
    <cellStyle name="Comma 2 10" xfId="81" xr:uid="{00000000-0005-0000-0000-000038000000}"/>
    <cellStyle name="Comma 2 11" xfId="86" xr:uid="{00000000-0005-0000-0000-000039000000}"/>
    <cellStyle name="Comma 2 12" xfId="91" xr:uid="{00000000-0005-0000-0000-00003A000000}"/>
    <cellStyle name="Comma 2 13" xfId="96" xr:uid="{00000000-0005-0000-0000-00003B000000}"/>
    <cellStyle name="Comma 2 14" xfId="101" xr:uid="{00000000-0005-0000-0000-00003C000000}"/>
    <cellStyle name="Comma 2 15" xfId="106" xr:uid="{00000000-0005-0000-0000-00003D000000}"/>
    <cellStyle name="Comma 2 16" xfId="111" xr:uid="{00000000-0005-0000-0000-00003E000000}"/>
    <cellStyle name="Comma 2 17" xfId="115" xr:uid="{00000000-0005-0000-0000-00003F000000}"/>
    <cellStyle name="Comma 2 2" xfId="14" xr:uid="{00000000-0005-0000-0000-000040000000}"/>
    <cellStyle name="Comma 2 2 2" xfId="249" xr:uid="{00000000-0005-0000-0000-000041000000}"/>
    <cellStyle name="Comma 2 3" xfId="15" xr:uid="{00000000-0005-0000-0000-000042000000}"/>
    <cellStyle name="Comma 2 3 2" xfId="250" xr:uid="{00000000-0005-0000-0000-000043000000}"/>
    <cellStyle name="Comma 2 4" xfId="16" xr:uid="{00000000-0005-0000-0000-000044000000}"/>
    <cellStyle name="Comma 2 4 2" xfId="251" xr:uid="{00000000-0005-0000-0000-000045000000}"/>
    <cellStyle name="Comma 2 5" xfId="21" xr:uid="{00000000-0005-0000-0000-000046000000}"/>
    <cellStyle name="Comma 2 6" xfId="50" xr:uid="{00000000-0005-0000-0000-000047000000}"/>
    <cellStyle name="Comma 2 7" xfId="63" xr:uid="{00000000-0005-0000-0000-000048000000}"/>
    <cellStyle name="Comma 2 8" xfId="69" xr:uid="{00000000-0005-0000-0000-000049000000}"/>
    <cellStyle name="Comma 2 9" xfId="75" xr:uid="{00000000-0005-0000-0000-00004A000000}"/>
    <cellStyle name="Comma 3" xfId="9" xr:uid="{00000000-0005-0000-0000-00004B000000}"/>
    <cellStyle name="Comma 3 2" xfId="247" xr:uid="{00000000-0005-0000-0000-00004C000000}"/>
    <cellStyle name="Comma 3 2 2" xfId="379" xr:uid="{00000000-0005-0000-0000-00004D000000}"/>
    <cellStyle name="Comma 3 3" xfId="456" xr:uid="{00000000-0005-0000-0000-00004E000000}"/>
    <cellStyle name="Comma 3 4" xfId="170" xr:uid="{00000000-0005-0000-0000-00004F000000}"/>
    <cellStyle name="Comma 4" xfId="17" xr:uid="{00000000-0005-0000-0000-000050000000}"/>
    <cellStyle name="Comma 4 2" xfId="252" xr:uid="{00000000-0005-0000-0000-000051000000}"/>
    <cellStyle name="Comma 5" xfId="120" xr:uid="{00000000-0005-0000-0000-000052000000}"/>
    <cellStyle name="Comma 6" xfId="166" xr:uid="{00000000-0005-0000-0000-000053000000}"/>
    <cellStyle name="Comma 7" xfId="591" xr:uid="{00000000-0005-0000-0000-000054000000}"/>
    <cellStyle name="Explanatory Text" xfId="552" builtinId="53" customBuiltin="1"/>
    <cellStyle name="Explanatory Text 2" xfId="137" xr:uid="{00000000-0005-0000-0000-000056000000}"/>
    <cellStyle name="Good" xfId="543" builtinId="26" customBuiltin="1"/>
    <cellStyle name="Good 2" xfId="127" xr:uid="{00000000-0005-0000-0000-000058000000}"/>
    <cellStyle name="Heading 1" xfId="539" builtinId="16" customBuiltin="1"/>
    <cellStyle name="Heading 1 2" xfId="123" xr:uid="{00000000-0005-0000-0000-00005A000000}"/>
    <cellStyle name="Heading 2" xfId="540" builtinId="17" customBuiltin="1"/>
    <cellStyle name="Heading 2 2" xfId="124" xr:uid="{00000000-0005-0000-0000-00005C000000}"/>
    <cellStyle name="Heading 3" xfId="541" builtinId="18" customBuiltin="1"/>
    <cellStyle name="Heading 3 2" xfId="125" xr:uid="{00000000-0005-0000-0000-00005E000000}"/>
    <cellStyle name="Heading 4" xfId="542" builtinId="19" customBuiltin="1"/>
    <cellStyle name="Heading 4 2" xfId="126" xr:uid="{00000000-0005-0000-0000-000060000000}"/>
    <cellStyle name="Input" xfId="546" builtinId="20" customBuiltin="1"/>
    <cellStyle name="Input 2" xfId="130" xr:uid="{00000000-0005-0000-0000-000062000000}"/>
    <cellStyle name="Linked Cell" xfId="549" builtinId="24" customBuiltin="1"/>
    <cellStyle name="Linked Cell 2" xfId="133" xr:uid="{00000000-0005-0000-0000-000064000000}"/>
    <cellStyle name="Neutral" xfId="545" builtinId="28" customBuiltin="1"/>
    <cellStyle name="Neutral 2" xfId="129" xr:uid="{00000000-0005-0000-0000-000066000000}"/>
    <cellStyle name="Normal" xfId="0" builtinId="0"/>
    <cellStyle name="Normal 10" xfId="29" xr:uid="{00000000-0005-0000-0000-000068000000}"/>
    <cellStyle name="Normal 10 2" xfId="257" xr:uid="{00000000-0005-0000-0000-000069000000}"/>
    <cellStyle name="Normal 10 2 2" xfId="389" xr:uid="{00000000-0005-0000-0000-00006A000000}"/>
    <cellStyle name="Normal 10 3" xfId="289" xr:uid="{00000000-0005-0000-0000-00006B000000}"/>
    <cellStyle name="Normal 10 3 2" xfId="469" xr:uid="{00000000-0005-0000-0000-00006C000000}"/>
    <cellStyle name="Normal 10 4" xfId="360" xr:uid="{00000000-0005-0000-0000-00006D000000}"/>
    <cellStyle name="Normal 10 5" xfId="183" xr:uid="{00000000-0005-0000-0000-00006E000000}"/>
    <cellStyle name="Normal 11" xfId="30" xr:uid="{00000000-0005-0000-0000-00006F000000}"/>
    <cellStyle name="Normal 11 2" xfId="258" xr:uid="{00000000-0005-0000-0000-000070000000}"/>
    <cellStyle name="Normal 11 2 2" xfId="390" xr:uid="{00000000-0005-0000-0000-000071000000}"/>
    <cellStyle name="Normal 11 3" xfId="290" xr:uid="{00000000-0005-0000-0000-000072000000}"/>
    <cellStyle name="Normal 11 3 2" xfId="470" xr:uid="{00000000-0005-0000-0000-000073000000}"/>
    <cellStyle name="Normal 11 4" xfId="361" xr:uid="{00000000-0005-0000-0000-000074000000}"/>
    <cellStyle name="Normal 11 5" xfId="184" xr:uid="{00000000-0005-0000-0000-000075000000}"/>
    <cellStyle name="Normal 12" xfId="31" xr:uid="{00000000-0005-0000-0000-000076000000}"/>
    <cellStyle name="Normal 12 2" xfId="259" xr:uid="{00000000-0005-0000-0000-000077000000}"/>
    <cellStyle name="Normal 12 2 2" xfId="391" xr:uid="{00000000-0005-0000-0000-000078000000}"/>
    <cellStyle name="Normal 12 3" xfId="291" xr:uid="{00000000-0005-0000-0000-000079000000}"/>
    <cellStyle name="Normal 12 3 2" xfId="471" xr:uid="{00000000-0005-0000-0000-00007A000000}"/>
    <cellStyle name="Normal 12 4" xfId="362" xr:uid="{00000000-0005-0000-0000-00007B000000}"/>
    <cellStyle name="Normal 12 5" xfId="185" xr:uid="{00000000-0005-0000-0000-00007C000000}"/>
    <cellStyle name="Normal 13" xfId="32" xr:uid="{00000000-0005-0000-0000-00007D000000}"/>
    <cellStyle name="Normal 13 2" xfId="260" xr:uid="{00000000-0005-0000-0000-00007E000000}"/>
    <cellStyle name="Normal 13 2 2" xfId="392" xr:uid="{00000000-0005-0000-0000-00007F000000}"/>
    <cellStyle name="Normal 13 3" xfId="292" xr:uid="{00000000-0005-0000-0000-000080000000}"/>
    <cellStyle name="Normal 13 3 2" xfId="472" xr:uid="{00000000-0005-0000-0000-000081000000}"/>
    <cellStyle name="Normal 13 4" xfId="363" xr:uid="{00000000-0005-0000-0000-000082000000}"/>
    <cellStyle name="Normal 13 5" xfId="186" xr:uid="{00000000-0005-0000-0000-000083000000}"/>
    <cellStyle name="Normal 14" xfId="33" xr:uid="{00000000-0005-0000-0000-000084000000}"/>
    <cellStyle name="Normal 14 2" xfId="261" xr:uid="{00000000-0005-0000-0000-000085000000}"/>
    <cellStyle name="Normal 14 2 2" xfId="393" xr:uid="{00000000-0005-0000-0000-000086000000}"/>
    <cellStyle name="Normal 14 3" xfId="293" xr:uid="{00000000-0005-0000-0000-000087000000}"/>
    <cellStyle name="Normal 14 3 2" xfId="473" xr:uid="{00000000-0005-0000-0000-000088000000}"/>
    <cellStyle name="Normal 14 4" xfId="364" xr:uid="{00000000-0005-0000-0000-000089000000}"/>
    <cellStyle name="Normal 14 5" xfId="187" xr:uid="{00000000-0005-0000-0000-00008A000000}"/>
    <cellStyle name="Normal 15" xfId="34" xr:uid="{00000000-0005-0000-0000-00008B000000}"/>
    <cellStyle name="Normal 15 2" xfId="262" xr:uid="{00000000-0005-0000-0000-00008C000000}"/>
    <cellStyle name="Normal 15 2 2" xfId="394" xr:uid="{00000000-0005-0000-0000-00008D000000}"/>
    <cellStyle name="Normal 15 3" xfId="294" xr:uid="{00000000-0005-0000-0000-00008E000000}"/>
    <cellStyle name="Normal 15 3 2" xfId="474" xr:uid="{00000000-0005-0000-0000-00008F000000}"/>
    <cellStyle name="Normal 15 4" xfId="365" xr:uid="{00000000-0005-0000-0000-000090000000}"/>
    <cellStyle name="Normal 15 5" xfId="188" xr:uid="{00000000-0005-0000-0000-000091000000}"/>
    <cellStyle name="Normal 16" xfId="35" xr:uid="{00000000-0005-0000-0000-000092000000}"/>
    <cellStyle name="Normal 16 2" xfId="263" xr:uid="{00000000-0005-0000-0000-000093000000}"/>
    <cellStyle name="Normal 16 2 2" xfId="395" xr:uid="{00000000-0005-0000-0000-000094000000}"/>
    <cellStyle name="Normal 16 3" xfId="295" xr:uid="{00000000-0005-0000-0000-000095000000}"/>
    <cellStyle name="Normal 16 3 2" xfId="475" xr:uid="{00000000-0005-0000-0000-000096000000}"/>
    <cellStyle name="Normal 16 4" xfId="366" xr:uid="{00000000-0005-0000-0000-000097000000}"/>
    <cellStyle name="Normal 16 5" xfId="189" xr:uid="{00000000-0005-0000-0000-000098000000}"/>
    <cellStyle name="Normal 17" xfId="36" xr:uid="{00000000-0005-0000-0000-000099000000}"/>
    <cellStyle name="Normal 17 2" xfId="264" xr:uid="{00000000-0005-0000-0000-00009A000000}"/>
    <cellStyle name="Normal 17 2 2" xfId="396" xr:uid="{00000000-0005-0000-0000-00009B000000}"/>
    <cellStyle name="Normal 17 3" xfId="296" xr:uid="{00000000-0005-0000-0000-00009C000000}"/>
    <cellStyle name="Normal 17 3 2" xfId="476" xr:uid="{00000000-0005-0000-0000-00009D000000}"/>
    <cellStyle name="Normal 17 4" xfId="367" xr:uid="{00000000-0005-0000-0000-00009E000000}"/>
    <cellStyle name="Normal 17 5" xfId="190" xr:uid="{00000000-0005-0000-0000-00009F000000}"/>
    <cellStyle name="Normal 18" xfId="37" xr:uid="{00000000-0005-0000-0000-0000A0000000}"/>
    <cellStyle name="Normal 18 2" xfId="265" xr:uid="{00000000-0005-0000-0000-0000A1000000}"/>
    <cellStyle name="Normal 18 2 2" xfId="397" xr:uid="{00000000-0005-0000-0000-0000A2000000}"/>
    <cellStyle name="Normal 18 3" xfId="297" xr:uid="{00000000-0005-0000-0000-0000A3000000}"/>
    <cellStyle name="Normal 18 3 2" xfId="477" xr:uid="{00000000-0005-0000-0000-0000A4000000}"/>
    <cellStyle name="Normal 18 4" xfId="368" xr:uid="{00000000-0005-0000-0000-0000A5000000}"/>
    <cellStyle name="Normal 18 5" xfId="191" xr:uid="{00000000-0005-0000-0000-0000A6000000}"/>
    <cellStyle name="Normal 19" xfId="119" xr:uid="{00000000-0005-0000-0000-0000A7000000}"/>
    <cellStyle name="Normal 2" xfId="7" xr:uid="{00000000-0005-0000-0000-0000A8000000}"/>
    <cellStyle name="Normal 2 10" xfId="95" xr:uid="{00000000-0005-0000-0000-0000A9000000}"/>
    <cellStyle name="Normal 2 10 2" xfId="340" xr:uid="{00000000-0005-0000-0000-0000AA000000}"/>
    <cellStyle name="Normal 2 10 2 2" xfId="521" xr:uid="{00000000-0005-0000-0000-0000AB000000}"/>
    <cellStyle name="Normal 2 10 3" xfId="441" xr:uid="{00000000-0005-0000-0000-0000AC000000}"/>
    <cellStyle name="Normal 2 10 4" xfId="234" xr:uid="{00000000-0005-0000-0000-0000AD000000}"/>
    <cellStyle name="Normal 2 11" xfId="100" xr:uid="{00000000-0005-0000-0000-0000AE000000}"/>
    <cellStyle name="Normal 2 11 2" xfId="343" xr:uid="{00000000-0005-0000-0000-0000AF000000}"/>
    <cellStyle name="Normal 2 11 2 2" xfId="524" xr:uid="{00000000-0005-0000-0000-0000B0000000}"/>
    <cellStyle name="Normal 2 11 3" xfId="444" xr:uid="{00000000-0005-0000-0000-0000B1000000}"/>
    <cellStyle name="Normal 2 11 4" xfId="237" xr:uid="{00000000-0005-0000-0000-0000B2000000}"/>
    <cellStyle name="Normal 2 12" xfId="105" xr:uid="{00000000-0005-0000-0000-0000B3000000}"/>
    <cellStyle name="Normal 2 12 2" xfId="346" xr:uid="{00000000-0005-0000-0000-0000B4000000}"/>
    <cellStyle name="Normal 2 12 2 2" xfId="527" xr:uid="{00000000-0005-0000-0000-0000B5000000}"/>
    <cellStyle name="Normal 2 12 3" xfId="447" xr:uid="{00000000-0005-0000-0000-0000B6000000}"/>
    <cellStyle name="Normal 2 12 4" xfId="240" xr:uid="{00000000-0005-0000-0000-0000B7000000}"/>
    <cellStyle name="Normal 2 13" xfId="110" xr:uid="{00000000-0005-0000-0000-0000B8000000}"/>
    <cellStyle name="Normal 2 13 2" xfId="349" xr:uid="{00000000-0005-0000-0000-0000B9000000}"/>
    <cellStyle name="Normal 2 13 2 2" xfId="530" xr:uid="{00000000-0005-0000-0000-0000BA000000}"/>
    <cellStyle name="Normal 2 13 3" xfId="450" xr:uid="{00000000-0005-0000-0000-0000BB000000}"/>
    <cellStyle name="Normal 2 13 4" xfId="243" xr:uid="{00000000-0005-0000-0000-0000BC000000}"/>
    <cellStyle name="Normal 2 14" xfId="114" xr:uid="{00000000-0005-0000-0000-0000BD000000}"/>
    <cellStyle name="Normal 2 14 2" xfId="351" xr:uid="{00000000-0005-0000-0000-0000BE000000}"/>
    <cellStyle name="Normal 2 14 2 2" xfId="532" xr:uid="{00000000-0005-0000-0000-0000BF000000}"/>
    <cellStyle name="Normal 2 14 3" xfId="452" xr:uid="{00000000-0005-0000-0000-0000C0000000}"/>
    <cellStyle name="Normal 2 14 4" xfId="245" xr:uid="{00000000-0005-0000-0000-0000C1000000}"/>
    <cellStyle name="Normal 2 15" xfId="117" xr:uid="{00000000-0005-0000-0000-0000C2000000}"/>
    <cellStyle name="Normal 2 15 2" xfId="352" xr:uid="{00000000-0005-0000-0000-0000C3000000}"/>
    <cellStyle name="Normal 2 15 2 2" xfId="533" xr:uid="{00000000-0005-0000-0000-0000C4000000}"/>
    <cellStyle name="Normal 2 15 3" xfId="453" xr:uid="{00000000-0005-0000-0000-0000C5000000}"/>
    <cellStyle name="Normal 2 15 4" xfId="246" xr:uid="{00000000-0005-0000-0000-0000C6000000}"/>
    <cellStyle name="Normal 2 16" xfId="275" xr:uid="{00000000-0005-0000-0000-0000C7000000}"/>
    <cellStyle name="Normal 2 16 2" xfId="454" xr:uid="{00000000-0005-0000-0000-0000C8000000}"/>
    <cellStyle name="Normal 2 17" xfId="353" xr:uid="{00000000-0005-0000-0000-0000C9000000}"/>
    <cellStyle name="Normal 2 18" xfId="168" xr:uid="{00000000-0005-0000-0000-0000CA000000}"/>
    <cellStyle name="Normal 2 19" xfId="582" xr:uid="{00000000-0005-0000-0000-0000CB000000}"/>
    <cellStyle name="Normal 2 2" xfId="22" xr:uid="{00000000-0005-0000-0000-0000CC000000}"/>
    <cellStyle name="Normal 2 2 2" xfId="282" xr:uid="{00000000-0005-0000-0000-0000CD000000}"/>
    <cellStyle name="Normal 2 2 2 2" xfId="462" xr:uid="{00000000-0005-0000-0000-0000CE000000}"/>
    <cellStyle name="Normal 2 2 3" xfId="377" xr:uid="{00000000-0005-0000-0000-0000CF000000}"/>
    <cellStyle name="Normal 2 2 4" xfId="176" xr:uid="{00000000-0005-0000-0000-0000D0000000}"/>
    <cellStyle name="Normal 2 3" xfId="51" xr:uid="{00000000-0005-0000-0000-0000D1000000}"/>
    <cellStyle name="Normal 2 3 2" xfId="309" xr:uid="{00000000-0005-0000-0000-0000D2000000}"/>
    <cellStyle name="Normal 2 3 2 2" xfId="489" xr:uid="{00000000-0005-0000-0000-0000D3000000}"/>
    <cellStyle name="Normal 2 3 3" xfId="409" xr:uid="{00000000-0005-0000-0000-0000D4000000}"/>
    <cellStyle name="Normal 2 3 4" xfId="203" xr:uid="{00000000-0005-0000-0000-0000D5000000}"/>
    <cellStyle name="Normal 2 4" xfId="62" xr:uid="{00000000-0005-0000-0000-0000D6000000}"/>
    <cellStyle name="Normal 2 4 2" xfId="319" xr:uid="{00000000-0005-0000-0000-0000D7000000}"/>
    <cellStyle name="Normal 2 4 2 2" xfId="500" xr:uid="{00000000-0005-0000-0000-0000D8000000}"/>
    <cellStyle name="Normal 2 4 3" xfId="420" xr:uid="{00000000-0005-0000-0000-0000D9000000}"/>
    <cellStyle name="Normal 2 4 4" xfId="213" xr:uid="{00000000-0005-0000-0000-0000DA000000}"/>
    <cellStyle name="Normal 2 5" xfId="68" xr:uid="{00000000-0005-0000-0000-0000DB000000}"/>
    <cellStyle name="Normal 2 5 2" xfId="323" xr:uid="{00000000-0005-0000-0000-0000DC000000}"/>
    <cellStyle name="Normal 2 5 2 2" xfId="504" xr:uid="{00000000-0005-0000-0000-0000DD000000}"/>
    <cellStyle name="Normal 2 5 3" xfId="424" xr:uid="{00000000-0005-0000-0000-0000DE000000}"/>
    <cellStyle name="Normal 2 5 4" xfId="217" xr:uid="{00000000-0005-0000-0000-0000DF000000}"/>
    <cellStyle name="Normal 2 6" xfId="74" xr:uid="{00000000-0005-0000-0000-0000E0000000}"/>
    <cellStyle name="Normal 2 6 2" xfId="327" xr:uid="{00000000-0005-0000-0000-0000E1000000}"/>
    <cellStyle name="Normal 2 6 2 2" xfId="508" xr:uid="{00000000-0005-0000-0000-0000E2000000}"/>
    <cellStyle name="Normal 2 6 3" xfId="428" xr:uid="{00000000-0005-0000-0000-0000E3000000}"/>
    <cellStyle name="Normal 2 6 4" xfId="221" xr:uid="{00000000-0005-0000-0000-0000E4000000}"/>
    <cellStyle name="Normal 2 7" xfId="80" xr:uid="{00000000-0005-0000-0000-0000E5000000}"/>
    <cellStyle name="Normal 2 7 2" xfId="331" xr:uid="{00000000-0005-0000-0000-0000E6000000}"/>
    <cellStyle name="Normal 2 7 2 2" xfId="512" xr:uid="{00000000-0005-0000-0000-0000E7000000}"/>
    <cellStyle name="Normal 2 7 3" xfId="432" xr:uid="{00000000-0005-0000-0000-0000E8000000}"/>
    <cellStyle name="Normal 2 7 4" xfId="225" xr:uid="{00000000-0005-0000-0000-0000E9000000}"/>
    <cellStyle name="Normal 2 8" xfId="85" xr:uid="{00000000-0005-0000-0000-0000EA000000}"/>
    <cellStyle name="Normal 2 8 2" xfId="334" xr:uid="{00000000-0005-0000-0000-0000EB000000}"/>
    <cellStyle name="Normal 2 8 2 2" xfId="515" xr:uid="{00000000-0005-0000-0000-0000EC000000}"/>
    <cellStyle name="Normal 2 8 3" xfId="435" xr:uid="{00000000-0005-0000-0000-0000ED000000}"/>
    <cellStyle name="Normal 2 8 4" xfId="228" xr:uid="{00000000-0005-0000-0000-0000EE000000}"/>
    <cellStyle name="Normal 2 9" xfId="90" xr:uid="{00000000-0005-0000-0000-0000EF000000}"/>
    <cellStyle name="Normal 2 9 2" xfId="337" xr:uid="{00000000-0005-0000-0000-0000F0000000}"/>
    <cellStyle name="Normal 2 9 2 2" xfId="518" xr:uid="{00000000-0005-0000-0000-0000F1000000}"/>
    <cellStyle name="Normal 2 9 3" xfId="438" xr:uid="{00000000-0005-0000-0000-0000F2000000}"/>
    <cellStyle name="Normal 2 9 4" xfId="231" xr:uid="{00000000-0005-0000-0000-0000F3000000}"/>
    <cellStyle name="Normal 20" xfId="38" xr:uid="{00000000-0005-0000-0000-0000F4000000}"/>
    <cellStyle name="Normal 20 2" xfId="266" xr:uid="{00000000-0005-0000-0000-0000F5000000}"/>
    <cellStyle name="Normal 20 2 2" xfId="398" xr:uid="{00000000-0005-0000-0000-0000F6000000}"/>
    <cellStyle name="Normal 20 3" xfId="298" xr:uid="{00000000-0005-0000-0000-0000F7000000}"/>
    <cellStyle name="Normal 20 3 2" xfId="478" xr:uid="{00000000-0005-0000-0000-0000F8000000}"/>
    <cellStyle name="Normal 20 4" xfId="369" xr:uid="{00000000-0005-0000-0000-0000F9000000}"/>
    <cellStyle name="Normal 20 5" xfId="192" xr:uid="{00000000-0005-0000-0000-0000FA000000}"/>
    <cellStyle name="Normal 21" xfId="39" xr:uid="{00000000-0005-0000-0000-0000FB000000}"/>
    <cellStyle name="Normal 21 2" xfId="267" xr:uid="{00000000-0005-0000-0000-0000FC000000}"/>
    <cellStyle name="Normal 21 2 2" xfId="399" xr:uid="{00000000-0005-0000-0000-0000FD000000}"/>
    <cellStyle name="Normal 21 3" xfId="299" xr:uid="{00000000-0005-0000-0000-0000FE000000}"/>
    <cellStyle name="Normal 21 3 2" xfId="479" xr:uid="{00000000-0005-0000-0000-0000FF000000}"/>
    <cellStyle name="Normal 21 4" xfId="370" xr:uid="{00000000-0005-0000-0000-000000010000}"/>
    <cellStyle name="Normal 21 5" xfId="193" xr:uid="{00000000-0005-0000-0000-000001010000}"/>
    <cellStyle name="Normal 22" xfId="40" xr:uid="{00000000-0005-0000-0000-000002010000}"/>
    <cellStyle name="Normal 22 2" xfId="268" xr:uid="{00000000-0005-0000-0000-000003010000}"/>
    <cellStyle name="Normal 22 2 2" xfId="400" xr:uid="{00000000-0005-0000-0000-000004010000}"/>
    <cellStyle name="Normal 22 3" xfId="300" xr:uid="{00000000-0005-0000-0000-000005010000}"/>
    <cellStyle name="Normal 22 3 2" xfId="480" xr:uid="{00000000-0005-0000-0000-000006010000}"/>
    <cellStyle name="Normal 22 4" xfId="371" xr:uid="{00000000-0005-0000-0000-000007010000}"/>
    <cellStyle name="Normal 22 5" xfId="194" xr:uid="{00000000-0005-0000-0000-000008010000}"/>
    <cellStyle name="Normal 23" xfId="41" xr:uid="{00000000-0005-0000-0000-000009010000}"/>
    <cellStyle name="Normal 23 2" xfId="269" xr:uid="{00000000-0005-0000-0000-00000A010000}"/>
    <cellStyle name="Normal 23 2 2" xfId="401" xr:uid="{00000000-0005-0000-0000-00000B010000}"/>
    <cellStyle name="Normal 23 3" xfId="301" xr:uid="{00000000-0005-0000-0000-00000C010000}"/>
    <cellStyle name="Normal 23 3 2" xfId="481" xr:uid="{00000000-0005-0000-0000-00000D010000}"/>
    <cellStyle name="Normal 23 4" xfId="372" xr:uid="{00000000-0005-0000-0000-00000E010000}"/>
    <cellStyle name="Normal 23 5" xfId="195" xr:uid="{00000000-0005-0000-0000-00000F010000}"/>
    <cellStyle name="Normal 24" xfId="42" xr:uid="{00000000-0005-0000-0000-000010010000}"/>
    <cellStyle name="Normal 24 2" xfId="270" xr:uid="{00000000-0005-0000-0000-000011010000}"/>
    <cellStyle name="Normal 24 2 2" xfId="402" xr:uid="{00000000-0005-0000-0000-000012010000}"/>
    <cellStyle name="Normal 24 3" xfId="302" xr:uid="{00000000-0005-0000-0000-000013010000}"/>
    <cellStyle name="Normal 24 3 2" xfId="482" xr:uid="{00000000-0005-0000-0000-000014010000}"/>
    <cellStyle name="Normal 24 4" xfId="373" xr:uid="{00000000-0005-0000-0000-000015010000}"/>
    <cellStyle name="Normal 24 5" xfId="196" xr:uid="{00000000-0005-0000-0000-000016010000}"/>
    <cellStyle name="Normal 25" xfId="43" xr:uid="{00000000-0005-0000-0000-000017010000}"/>
    <cellStyle name="Normal 25 2" xfId="271" xr:uid="{00000000-0005-0000-0000-000018010000}"/>
    <cellStyle name="Normal 25 2 2" xfId="403" xr:uid="{00000000-0005-0000-0000-000019010000}"/>
    <cellStyle name="Normal 25 3" xfId="303" xr:uid="{00000000-0005-0000-0000-00001A010000}"/>
    <cellStyle name="Normal 25 3 2" xfId="483" xr:uid="{00000000-0005-0000-0000-00001B010000}"/>
    <cellStyle name="Normal 25 4" xfId="374" xr:uid="{00000000-0005-0000-0000-00001C010000}"/>
    <cellStyle name="Normal 25 5" xfId="197" xr:uid="{00000000-0005-0000-0000-00001D010000}"/>
    <cellStyle name="Normal 26" xfId="44" xr:uid="{00000000-0005-0000-0000-00001E010000}"/>
    <cellStyle name="Normal 26 2" xfId="272" xr:uid="{00000000-0005-0000-0000-00001F010000}"/>
    <cellStyle name="Normal 26 2 2" xfId="404" xr:uid="{00000000-0005-0000-0000-000020010000}"/>
    <cellStyle name="Normal 26 3" xfId="304" xr:uid="{00000000-0005-0000-0000-000021010000}"/>
    <cellStyle name="Normal 26 3 2" xfId="484" xr:uid="{00000000-0005-0000-0000-000022010000}"/>
    <cellStyle name="Normal 26 4" xfId="375" xr:uid="{00000000-0005-0000-0000-000023010000}"/>
    <cellStyle name="Normal 26 5" xfId="198" xr:uid="{00000000-0005-0000-0000-000024010000}"/>
    <cellStyle name="Normal 27" xfId="45" xr:uid="{00000000-0005-0000-0000-000025010000}"/>
    <cellStyle name="Normal 27 2" xfId="273" xr:uid="{00000000-0005-0000-0000-000026010000}"/>
    <cellStyle name="Normal 27 2 2" xfId="405" xr:uid="{00000000-0005-0000-0000-000027010000}"/>
    <cellStyle name="Normal 27 3" xfId="305" xr:uid="{00000000-0005-0000-0000-000028010000}"/>
    <cellStyle name="Normal 27 3 2" xfId="485" xr:uid="{00000000-0005-0000-0000-000029010000}"/>
    <cellStyle name="Normal 27 4" xfId="376" xr:uid="{00000000-0005-0000-0000-00002A010000}"/>
    <cellStyle name="Normal 27 5" xfId="199" xr:uid="{00000000-0005-0000-0000-00002B010000}"/>
    <cellStyle name="Normal 28" xfId="165" xr:uid="{00000000-0005-0000-0000-00002C010000}"/>
    <cellStyle name="Normal 28 2" xfId="537" xr:uid="{00000000-0005-0000-0000-00002D010000}"/>
    <cellStyle name="Normal 29" xfId="164" xr:uid="{00000000-0005-0000-0000-00002E010000}"/>
    <cellStyle name="Normal 29 2" xfId="536" xr:uid="{00000000-0005-0000-0000-00002F010000}"/>
    <cellStyle name="Normal 3" xfId="3" xr:uid="{00000000-0005-0000-0000-000030010000}"/>
    <cellStyle name="Normal 3 10" xfId="98" xr:uid="{00000000-0005-0000-0000-000031010000}"/>
    <cellStyle name="Normal 3 11" xfId="103" xr:uid="{00000000-0005-0000-0000-000032010000}"/>
    <cellStyle name="Normal 3 12" xfId="108" xr:uid="{00000000-0005-0000-0000-000033010000}"/>
    <cellStyle name="Normal 3 13" xfId="112" xr:uid="{00000000-0005-0000-0000-000034010000}"/>
    <cellStyle name="Normal 3 14" xfId="116" xr:uid="{00000000-0005-0000-0000-000035010000}"/>
    <cellStyle name="Normal 3 15" xfId="118" xr:uid="{00000000-0005-0000-0000-000036010000}"/>
    <cellStyle name="Normal 3 2" xfId="18" xr:uid="{00000000-0005-0000-0000-000037010000}"/>
    <cellStyle name="Normal 3 3" xfId="47" xr:uid="{00000000-0005-0000-0000-000038010000}"/>
    <cellStyle name="Normal 3 4" xfId="66" xr:uid="{00000000-0005-0000-0000-000039010000}"/>
    <cellStyle name="Normal 3 5" xfId="72" xr:uid="{00000000-0005-0000-0000-00003A010000}"/>
    <cellStyle name="Normal 3 6" xfId="78" xr:uid="{00000000-0005-0000-0000-00003B010000}"/>
    <cellStyle name="Normal 3 7" xfId="83" xr:uid="{00000000-0005-0000-0000-00003C010000}"/>
    <cellStyle name="Normal 3 8" xfId="88" xr:uid="{00000000-0005-0000-0000-00003D010000}"/>
    <cellStyle name="Normal 3 9" xfId="93" xr:uid="{00000000-0005-0000-0000-00003E010000}"/>
    <cellStyle name="Normal 30" xfId="578" xr:uid="{00000000-0005-0000-0000-00003F010000}"/>
    <cellStyle name="Normal 31" xfId="590" xr:uid="{00000000-0005-0000-0000-000040010000}"/>
    <cellStyle name="Normal 4" xfId="8" xr:uid="{00000000-0005-0000-0000-000041010000}"/>
    <cellStyle name="Normal 4 10" xfId="82" xr:uid="{00000000-0005-0000-0000-000042010000}"/>
    <cellStyle name="Normal 4 10 2" xfId="332" xr:uid="{00000000-0005-0000-0000-000043010000}"/>
    <cellStyle name="Normal 4 10 2 2" xfId="513" xr:uid="{00000000-0005-0000-0000-000044010000}"/>
    <cellStyle name="Normal 4 10 3" xfId="433" xr:uid="{00000000-0005-0000-0000-000045010000}"/>
    <cellStyle name="Normal 4 10 4" xfId="226" xr:uid="{00000000-0005-0000-0000-000046010000}"/>
    <cellStyle name="Normal 4 11" xfId="87" xr:uid="{00000000-0005-0000-0000-000047010000}"/>
    <cellStyle name="Normal 4 11 2" xfId="335" xr:uid="{00000000-0005-0000-0000-000048010000}"/>
    <cellStyle name="Normal 4 11 2 2" xfId="516" xr:uid="{00000000-0005-0000-0000-000049010000}"/>
    <cellStyle name="Normal 4 11 3" xfId="436" xr:uid="{00000000-0005-0000-0000-00004A010000}"/>
    <cellStyle name="Normal 4 11 4" xfId="229" xr:uid="{00000000-0005-0000-0000-00004B010000}"/>
    <cellStyle name="Normal 4 12" xfId="92" xr:uid="{00000000-0005-0000-0000-00004C010000}"/>
    <cellStyle name="Normal 4 12 2" xfId="338" xr:uid="{00000000-0005-0000-0000-00004D010000}"/>
    <cellStyle name="Normal 4 12 2 2" xfId="519" xr:uid="{00000000-0005-0000-0000-00004E010000}"/>
    <cellStyle name="Normal 4 12 3" xfId="439" xr:uid="{00000000-0005-0000-0000-00004F010000}"/>
    <cellStyle name="Normal 4 12 4" xfId="232" xr:uid="{00000000-0005-0000-0000-000050010000}"/>
    <cellStyle name="Normal 4 13" xfId="97" xr:uid="{00000000-0005-0000-0000-000051010000}"/>
    <cellStyle name="Normal 4 13 2" xfId="341" xr:uid="{00000000-0005-0000-0000-000052010000}"/>
    <cellStyle name="Normal 4 13 2 2" xfId="522" xr:uid="{00000000-0005-0000-0000-000053010000}"/>
    <cellStyle name="Normal 4 13 3" xfId="442" xr:uid="{00000000-0005-0000-0000-000054010000}"/>
    <cellStyle name="Normal 4 13 4" xfId="235" xr:uid="{00000000-0005-0000-0000-000055010000}"/>
    <cellStyle name="Normal 4 14" xfId="102" xr:uid="{00000000-0005-0000-0000-000056010000}"/>
    <cellStyle name="Normal 4 14 2" xfId="344" xr:uid="{00000000-0005-0000-0000-000057010000}"/>
    <cellStyle name="Normal 4 14 2 2" xfId="525" xr:uid="{00000000-0005-0000-0000-000058010000}"/>
    <cellStyle name="Normal 4 14 3" xfId="445" xr:uid="{00000000-0005-0000-0000-000059010000}"/>
    <cellStyle name="Normal 4 14 4" xfId="238" xr:uid="{00000000-0005-0000-0000-00005A010000}"/>
    <cellStyle name="Normal 4 15" xfId="107" xr:uid="{00000000-0005-0000-0000-00005B010000}"/>
    <cellStyle name="Normal 4 15 2" xfId="347" xr:uid="{00000000-0005-0000-0000-00005C010000}"/>
    <cellStyle name="Normal 4 15 2 2" xfId="528" xr:uid="{00000000-0005-0000-0000-00005D010000}"/>
    <cellStyle name="Normal 4 15 3" xfId="448" xr:uid="{00000000-0005-0000-0000-00005E010000}"/>
    <cellStyle name="Normal 4 15 4" xfId="241" xr:uid="{00000000-0005-0000-0000-00005F010000}"/>
    <cellStyle name="Normal 4 16" xfId="276" xr:uid="{00000000-0005-0000-0000-000060010000}"/>
    <cellStyle name="Normal 4 16 2" xfId="455" xr:uid="{00000000-0005-0000-0000-000061010000}"/>
    <cellStyle name="Normal 4 17" xfId="354" xr:uid="{00000000-0005-0000-0000-000062010000}"/>
    <cellStyle name="Normal 4 18" xfId="169" xr:uid="{00000000-0005-0000-0000-000063010000}"/>
    <cellStyle name="Normal 4 19" xfId="581" xr:uid="{00000000-0005-0000-0000-000064010000}"/>
    <cellStyle name="Normal 4 2" xfId="23" xr:uid="{00000000-0005-0000-0000-000065010000}"/>
    <cellStyle name="Normal 4 2 2" xfId="283" xr:uid="{00000000-0005-0000-0000-000066010000}"/>
    <cellStyle name="Normal 4 2 2 2" xfId="463" xr:uid="{00000000-0005-0000-0000-000067010000}"/>
    <cellStyle name="Normal 4 2 3" xfId="378" xr:uid="{00000000-0005-0000-0000-000068010000}"/>
    <cellStyle name="Normal 4 2 4" xfId="177" xr:uid="{00000000-0005-0000-0000-000069010000}"/>
    <cellStyle name="Normal 4 2 5" xfId="584" xr:uid="{00000000-0005-0000-0000-00006A010000}"/>
    <cellStyle name="Normal 4 3" xfId="52" xr:uid="{00000000-0005-0000-0000-00006B010000}"/>
    <cellStyle name="Normal 4 3 2" xfId="310" xr:uid="{00000000-0005-0000-0000-00006C010000}"/>
    <cellStyle name="Normal 4 3 2 2" xfId="490" xr:uid="{00000000-0005-0000-0000-00006D010000}"/>
    <cellStyle name="Normal 4 3 3" xfId="410" xr:uid="{00000000-0005-0000-0000-00006E010000}"/>
    <cellStyle name="Normal 4 3 4" xfId="204" xr:uid="{00000000-0005-0000-0000-00006F010000}"/>
    <cellStyle name="Normal 4 4" xfId="61" xr:uid="{00000000-0005-0000-0000-000070010000}"/>
    <cellStyle name="Normal 4 4 2" xfId="318" xr:uid="{00000000-0005-0000-0000-000071010000}"/>
    <cellStyle name="Normal 4 4 2 2" xfId="499" xr:uid="{00000000-0005-0000-0000-000072010000}"/>
    <cellStyle name="Normal 4 4 3" xfId="419" xr:uid="{00000000-0005-0000-0000-000073010000}"/>
    <cellStyle name="Normal 4 4 4" xfId="212" xr:uid="{00000000-0005-0000-0000-000074010000}"/>
    <cellStyle name="Normal 4 5" xfId="19" xr:uid="{00000000-0005-0000-0000-000075010000}"/>
    <cellStyle name="Normal 4 5 2" xfId="280" xr:uid="{00000000-0005-0000-0000-000076010000}"/>
    <cellStyle name="Normal 4 5 2 2" xfId="460" xr:uid="{00000000-0005-0000-0000-000077010000}"/>
    <cellStyle name="Normal 4 5 3" xfId="383" xr:uid="{00000000-0005-0000-0000-000078010000}"/>
    <cellStyle name="Normal 4 5 4" xfId="174" xr:uid="{00000000-0005-0000-0000-000079010000}"/>
    <cellStyle name="Normal 4 6" xfId="48" xr:uid="{00000000-0005-0000-0000-00007A010000}"/>
    <cellStyle name="Normal 4 6 2" xfId="307" xr:uid="{00000000-0005-0000-0000-00007B010000}"/>
    <cellStyle name="Normal 4 6 2 2" xfId="487" xr:uid="{00000000-0005-0000-0000-00007C010000}"/>
    <cellStyle name="Normal 4 6 3" xfId="407" xr:uid="{00000000-0005-0000-0000-00007D010000}"/>
    <cellStyle name="Normal 4 6 4" xfId="201" xr:uid="{00000000-0005-0000-0000-00007E010000}"/>
    <cellStyle name="Normal 4 7" xfId="65" xr:uid="{00000000-0005-0000-0000-00007F010000}"/>
    <cellStyle name="Normal 4 7 2" xfId="321" xr:uid="{00000000-0005-0000-0000-000080010000}"/>
    <cellStyle name="Normal 4 7 2 2" xfId="502" xr:uid="{00000000-0005-0000-0000-000081010000}"/>
    <cellStyle name="Normal 4 7 3" xfId="422" xr:uid="{00000000-0005-0000-0000-000082010000}"/>
    <cellStyle name="Normal 4 7 4" xfId="215" xr:uid="{00000000-0005-0000-0000-000083010000}"/>
    <cellStyle name="Normal 4 8" xfId="71" xr:uid="{00000000-0005-0000-0000-000084010000}"/>
    <cellStyle name="Normal 4 8 2" xfId="325" xr:uid="{00000000-0005-0000-0000-000085010000}"/>
    <cellStyle name="Normal 4 8 2 2" xfId="506" xr:uid="{00000000-0005-0000-0000-000086010000}"/>
    <cellStyle name="Normal 4 8 3" xfId="426" xr:uid="{00000000-0005-0000-0000-000087010000}"/>
    <cellStyle name="Normal 4 8 4" xfId="219" xr:uid="{00000000-0005-0000-0000-000088010000}"/>
    <cellStyle name="Normal 4 9" xfId="77" xr:uid="{00000000-0005-0000-0000-000089010000}"/>
    <cellStyle name="Normal 4 9 2" xfId="329" xr:uid="{00000000-0005-0000-0000-00008A010000}"/>
    <cellStyle name="Normal 4 9 2 2" xfId="510" xr:uid="{00000000-0005-0000-0000-00008B010000}"/>
    <cellStyle name="Normal 4 9 3" xfId="430" xr:uid="{00000000-0005-0000-0000-00008C010000}"/>
    <cellStyle name="Normal 4 9 4" xfId="223" xr:uid="{00000000-0005-0000-0000-00008D010000}"/>
    <cellStyle name="Normal 5" xfId="24" xr:uid="{00000000-0005-0000-0000-00008E010000}"/>
    <cellStyle name="Normal 5 2" xfId="253" xr:uid="{00000000-0005-0000-0000-00008F010000}"/>
    <cellStyle name="Normal 5 2 2" xfId="385" xr:uid="{00000000-0005-0000-0000-000090010000}"/>
    <cellStyle name="Normal 5 3" xfId="284" xr:uid="{00000000-0005-0000-0000-000091010000}"/>
    <cellStyle name="Normal 5 3 2" xfId="464" xr:uid="{00000000-0005-0000-0000-000092010000}"/>
    <cellStyle name="Normal 5 4" xfId="355" xr:uid="{00000000-0005-0000-0000-000093010000}"/>
    <cellStyle name="Normal 5 5" xfId="178" xr:uid="{00000000-0005-0000-0000-000094010000}"/>
    <cellStyle name="Normal 5 6" xfId="580" xr:uid="{00000000-0005-0000-0000-000095010000}"/>
    <cellStyle name="Normal 6" xfId="25" xr:uid="{00000000-0005-0000-0000-000096010000}"/>
    <cellStyle name="Normal 6 2" xfId="254" xr:uid="{00000000-0005-0000-0000-000097010000}"/>
    <cellStyle name="Normal 6 2 2" xfId="386" xr:uid="{00000000-0005-0000-0000-000098010000}"/>
    <cellStyle name="Normal 6 3" xfId="285" xr:uid="{00000000-0005-0000-0000-000099010000}"/>
    <cellStyle name="Normal 6 3 2" xfId="465" xr:uid="{00000000-0005-0000-0000-00009A010000}"/>
    <cellStyle name="Normal 6 4" xfId="356" xr:uid="{00000000-0005-0000-0000-00009B010000}"/>
    <cellStyle name="Normal 6 5" xfId="179" xr:uid="{00000000-0005-0000-0000-00009C010000}"/>
    <cellStyle name="Normal 6 6" xfId="583" xr:uid="{00000000-0005-0000-0000-00009D010000}"/>
    <cellStyle name="Normal 7" xfId="10" xr:uid="{00000000-0005-0000-0000-00009E010000}"/>
    <cellStyle name="Normal 7 10" xfId="57" xr:uid="{00000000-0005-0000-0000-00009F010000}"/>
    <cellStyle name="Normal 7 10 2" xfId="163" xr:uid="{00000000-0005-0000-0000-0000A0010000}"/>
    <cellStyle name="Normal 7 10 2 2" xfId="495" xr:uid="{00000000-0005-0000-0000-0000A1010000}"/>
    <cellStyle name="Normal 7 10 3" xfId="415" xr:uid="{00000000-0005-0000-0000-0000A2010000}"/>
    <cellStyle name="Normal 7 11" xfId="20" xr:uid="{00000000-0005-0000-0000-0000A3010000}"/>
    <cellStyle name="Normal 7 11 2" xfId="281" xr:uid="{00000000-0005-0000-0000-0000A4010000}"/>
    <cellStyle name="Normal 7 11 2 2" xfId="461" xr:uid="{00000000-0005-0000-0000-0000A5010000}"/>
    <cellStyle name="Normal 7 11 3" xfId="384" xr:uid="{00000000-0005-0000-0000-0000A6010000}"/>
    <cellStyle name="Normal 7 11 4" xfId="175" xr:uid="{00000000-0005-0000-0000-0000A7010000}"/>
    <cellStyle name="Normal 7 12" xfId="49" xr:uid="{00000000-0005-0000-0000-0000A8010000}"/>
    <cellStyle name="Normal 7 12 2" xfId="308" xr:uid="{00000000-0005-0000-0000-0000A9010000}"/>
    <cellStyle name="Normal 7 12 2 2" xfId="488" xr:uid="{00000000-0005-0000-0000-0000AA010000}"/>
    <cellStyle name="Normal 7 12 3" xfId="408" xr:uid="{00000000-0005-0000-0000-0000AB010000}"/>
    <cellStyle name="Normal 7 12 4" xfId="202" xr:uid="{00000000-0005-0000-0000-0000AC010000}"/>
    <cellStyle name="Normal 7 13" xfId="64" xr:uid="{00000000-0005-0000-0000-0000AD010000}"/>
    <cellStyle name="Normal 7 13 2" xfId="320" xr:uid="{00000000-0005-0000-0000-0000AE010000}"/>
    <cellStyle name="Normal 7 13 2 2" xfId="501" xr:uid="{00000000-0005-0000-0000-0000AF010000}"/>
    <cellStyle name="Normal 7 13 3" xfId="421" xr:uid="{00000000-0005-0000-0000-0000B0010000}"/>
    <cellStyle name="Normal 7 13 4" xfId="214" xr:uid="{00000000-0005-0000-0000-0000B1010000}"/>
    <cellStyle name="Normal 7 14" xfId="70" xr:uid="{00000000-0005-0000-0000-0000B2010000}"/>
    <cellStyle name="Normal 7 14 2" xfId="324" xr:uid="{00000000-0005-0000-0000-0000B3010000}"/>
    <cellStyle name="Normal 7 14 2 2" xfId="505" xr:uid="{00000000-0005-0000-0000-0000B4010000}"/>
    <cellStyle name="Normal 7 14 3" xfId="425" xr:uid="{00000000-0005-0000-0000-0000B5010000}"/>
    <cellStyle name="Normal 7 14 4" xfId="218" xr:uid="{00000000-0005-0000-0000-0000B6010000}"/>
    <cellStyle name="Normal 7 15" xfId="76" xr:uid="{00000000-0005-0000-0000-0000B7010000}"/>
    <cellStyle name="Normal 7 15 2" xfId="328" xr:uid="{00000000-0005-0000-0000-0000B8010000}"/>
    <cellStyle name="Normal 7 15 2 2" xfId="509" xr:uid="{00000000-0005-0000-0000-0000B9010000}"/>
    <cellStyle name="Normal 7 15 3" xfId="429" xr:uid="{00000000-0005-0000-0000-0000BA010000}"/>
    <cellStyle name="Normal 7 15 4" xfId="222" xr:uid="{00000000-0005-0000-0000-0000BB010000}"/>
    <cellStyle name="Normal 7 16" xfId="357" xr:uid="{00000000-0005-0000-0000-0000BC010000}"/>
    <cellStyle name="Normal 7 2" xfId="26" xr:uid="{00000000-0005-0000-0000-0000BD010000}"/>
    <cellStyle name="Normal 7 2 2" xfId="255" xr:uid="{00000000-0005-0000-0000-0000BE010000}"/>
    <cellStyle name="Normal 7 2 2 2" xfId="387" xr:uid="{00000000-0005-0000-0000-0000BF010000}"/>
    <cellStyle name="Normal 7 2 3" xfId="286" xr:uid="{00000000-0005-0000-0000-0000C0010000}"/>
    <cellStyle name="Normal 7 2 3 2" xfId="466" xr:uid="{00000000-0005-0000-0000-0000C1010000}"/>
    <cellStyle name="Normal 7 2 4" xfId="248" xr:uid="{00000000-0005-0000-0000-0000C2010000}"/>
    <cellStyle name="Normal 7 2 5" xfId="180" xr:uid="{00000000-0005-0000-0000-0000C3010000}"/>
    <cellStyle name="Normal 7 3" xfId="54" xr:uid="{00000000-0005-0000-0000-0000C4010000}"/>
    <cellStyle name="Normal 7 3 2" xfId="312" xr:uid="{00000000-0005-0000-0000-0000C5010000}"/>
    <cellStyle name="Normal 7 3 2 2" xfId="492" xr:uid="{00000000-0005-0000-0000-0000C6010000}"/>
    <cellStyle name="Normal 7 3 3" xfId="412" xr:uid="{00000000-0005-0000-0000-0000C7010000}"/>
    <cellStyle name="Normal 7 3 4" xfId="206" xr:uid="{00000000-0005-0000-0000-0000C8010000}"/>
    <cellStyle name="Normal 7 4" xfId="59" xr:uid="{00000000-0005-0000-0000-0000C9010000}"/>
    <cellStyle name="Normal 7 4 2" xfId="316" xr:uid="{00000000-0005-0000-0000-0000CA010000}"/>
    <cellStyle name="Normal 7 4 2 2" xfId="497" xr:uid="{00000000-0005-0000-0000-0000CB010000}"/>
    <cellStyle name="Normal 7 4 3" xfId="417" xr:uid="{00000000-0005-0000-0000-0000CC010000}"/>
    <cellStyle name="Normal 7 4 4" xfId="210" xr:uid="{00000000-0005-0000-0000-0000CD010000}"/>
    <cellStyle name="Normal 7 5" xfId="13" xr:uid="{00000000-0005-0000-0000-0000CE010000}"/>
    <cellStyle name="Normal 7 5 2" xfId="279" xr:uid="{00000000-0005-0000-0000-0000CF010000}"/>
    <cellStyle name="Normal 7 5 2 2" xfId="459" xr:uid="{00000000-0005-0000-0000-0000D0010000}"/>
    <cellStyle name="Normal 7 5 3" xfId="382" xr:uid="{00000000-0005-0000-0000-0000D1010000}"/>
    <cellStyle name="Normal 7 5 4" xfId="173" xr:uid="{00000000-0005-0000-0000-0000D2010000}"/>
    <cellStyle name="Normal 7 6" xfId="53" xr:uid="{00000000-0005-0000-0000-0000D3010000}"/>
    <cellStyle name="Normal 7 6 2" xfId="311" xr:uid="{00000000-0005-0000-0000-0000D4010000}"/>
    <cellStyle name="Normal 7 6 2 2" xfId="491" xr:uid="{00000000-0005-0000-0000-0000D5010000}"/>
    <cellStyle name="Normal 7 6 3" xfId="411" xr:uid="{00000000-0005-0000-0000-0000D6010000}"/>
    <cellStyle name="Normal 7 6 4" xfId="205" xr:uid="{00000000-0005-0000-0000-0000D7010000}"/>
    <cellStyle name="Normal 7 7" xfId="60" xr:uid="{00000000-0005-0000-0000-0000D8010000}"/>
    <cellStyle name="Normal 7 7 2" xfId="317" xr:uid="{00000000-0005-0000-0000-0000D9010000}"/>
    <cellStyle name="Normal 7 7 2 2" xfId="498" xr:uid="{00000000-0005-0000-0000-0000DA010000}"/>
    <cellStyle name="Normal 7 7 3" xfId="418" xr:uid="{00000000-0005-0000-0000-0000DB010000}"/>
    <cellStyle name="Normal 7 7 4" xfId="211" xr:uid="{00000000-0005-0000-0000-0000DC010000}"/>
    <cellStyle name="Normal 7 8" xfId="12" xr:uid="{00000000-0005-0000-0000-0000DD010000}"/>
    <cellStyle name="Normal 7 8 2" xfId="278" xr:uid="{00000000-0005-0000-0000-0000DE010000}"/>
    <cellStyle name="Normal 7 8 2 2" xfId="458" xr:uid="{00000000-0005-0000-0000-0000DF010000}"/>
    <cellStyle name="Normal 7 8 3" xfId="381" xr:uid="{00000000-0005-0000-0000-0000E0010000}"/>
    <cellStyle name="Normal 7 8 4" xfId="172" xr:uid="{00000000-0005-0000-0000-0000E1010000}"/>
    <cellStyle name="Normal 7 9" xfId="56" xr:uid="{00000000-0005-0000-0000-0000E2010000}"/>
    <cellStyle name="Normal 7 9 2" xfId="314" xr:uid="{00000000-0005-0000-0000-0000E3010000}"/>
    <cellStyle name="Normal 7 9 2 2" xfId="494" xr:uid="{00000000-0005-0000-0000-0000E4010000}"/>
    <cellStyle name="Normal 7 9 3" xfId="414" xr:uid="{00000000-0005-0000-0000-0000E5010000}"/>
    <cellStyle name="Normal 7 9 4" xfId="208" xr:uid="{00000000-0005-0000-0000-0000E6010000}"/>
    <cellStyle name="Normal 8" xfId="11" xr:uid="{00000000-0005-0000-0000-0000E7010000}"/>
    <cellStyle name="Normal 8 10" xfId="89" xr:uid="{00000000-0005-0000-0000-0000E8010000}"/>
    <cellStyle name="Normal 8 10 2" xfId="336" xr:uid="{00000000-0005-0000-0000-0000E9010000}"/>
    <cellStyle name="Normal 8 10 2 2" xfId="517" xr:uid="{00000000-0005-0000-0000-0000EA010000}"/>
    <cellStyle name="Normal 8 10 3" xfId="437" xr:uid="{00000000-0005-0000-0000-0000EB010000}"/>
    <cellStyle name="Normal 8 10 4" xfId="230" xr:uid="{00000000-0005-0000-0000-0000EC010000}"/>
    <cellStyle name="Normal 8 11" xfId="94" xr:uid="{00000000-0005-0000-0000-0000ED010000}"/>
    <cellStyle name="Normal 8 11 2" xfId="339" xr:uid="{00000000-0005-0000-0000-0000EE010000}"/>
    <cellStyle name="Normal 8 11 2 2" xfId="520" xr:uid="{00000000-0005-0000-0000-0000EF010000}"/>
    <cellStyle name="Normal 8 11 3" xfId="440" xr:uid="{00000000-0005-0000-0000-0000F0010000}"/>
    <cellStyle name="Normal 8 11 4" xfId="233" xr:uid="{00000000-0005-0000-0000-0000F1010000}"/>
    <cellStyle name="Normal 8 12" xfId="99" xr:uid="{00000000-0005-0000-0000-0000F2010000}"/>
    <cellStyle name="Normal 8 12 2" xfId="342" xr:uid="{00000000-0005-0000-0000-0000F3010000}"/>
    <cellStyle name="Normal 8 12 2 2" xfId="523" xr:uid="{00000000-0005-0000-0000-0000F4010000}"/>
    <cellStyle name="Normal 8 12 3" xfId="443" xr:uid="{00000000-0005-0000-0000-0000F5010000}"/>
    <cellStyle name="Normal 8 12 4" xfId="236" xr:uid="{00000000-0005-0000-0000-0000F6010000}"/>
    <cellStyle name="Normal 8 13" xfId="104" xr:uid="{00000000-0005-0000-0000-0000F7010000}"/>
    <cellStyle name="Normal 8 13 2" xfId="345" xr:uid="{00000000-0005-0000-0000-0000F8010000}"/>
    <cellStyle name="Normal 8 13 2 2" xfId="526" xr:uid="{00000000-0005-0000-0000-0000F9010000}"/>
    <cellStyle name="Normal 8 13 3" xfId="446" xr:uid="{00000000-0005-0000-0000-0000FA010000}"/>
    <cellStyle name="Normal 8 13 4" xfId="239" xr:uid="{00000000-0005-0000-0000-0000FB010000}"/>
    <cellStyle name="Normal 8 14" xfId="109" xr:uid="{00000000-0005-0000-0000-0000FC010000}"/>
    <cellStyle name="Normal 8 14 2" xfId="348" xr:uid="{00000000-0005-0000-0000-0000FD010000}"/>
    <cellStyle name="Normal 8 14 2 2" xfId="529" xr:uid="{00000000-0005-0000-0000-0000FE010000}"/>
    <cellStyle name="Normal 8 14 3" xfId="449" xr:uid="{00000000-0005-0000-0000-0000FF010000}"/>
    <cellStyle name="Normal 8 14 4" xfId="242" xr:uid="{00000000-0005-0000-0000-000000020000}"/>
    <cellStyle name="Normal 8 15" xfId="113" xr:uid="{00000000-0005-0000-0000-000001020000}"/>
    <cellStyle name="Normal 8 15 2" xfId="350" xr:uid="{00000000-0005-0000-0000-000002020000}"/>
    <cellStyle name="Normal 8 15 2 2" xfId="531" xr:uid="{00000000-0005-0000-0000-000003020000}"/>
    <cellStyle name="Normal 8 15 3" xfId="451" xr:uid="{00000000-0005-0000-0000-000004020000}"/>
    <cellStyle name="Normal 8 15 4" xfId="244" xr:uid="{00000000-0005-0000-0000-000005020000}"/>
    <cellStyle name="Normal 8 16" xfId="277" xr:uid="{00000000-0005-0000-0000-000006020000}"/>
    <cellStyle name="Normal 8 16 2" xfId="457" xr:uid="{00000000-0005-0000-0000-000007020000}"/>
    <cellStyle name="Normal 8 17" xfId="358" xr:uid="{00000000-0005-0000-0000-000008020000}"/>
    <cellStyle name="Normal 8 18" xfId="171" xr:uid="{00000000-0005-0000-0000-000009020000}"/>
    <cellStyle name="Normal 8 19" xfId="585" xr:uid="{00000000-0005-0000-0000-00000A020000}"/>
    <cellStyle name="Normal 8 2" xfId="27" xr:uid="{00000000-0005-0000-0000-00000B020000}"/>
    <cellStyle name="Normal 8 2 2" xfId="287" xr:uid="{00000000-0005-0000-0000-00000C020000}"/>
    <cellStyle name="Normal 8 2 2 2" xfId="467" xr:uid="{00000000-0005-0000-0000-00000D020000}"/>
    <cellStyle name="Normal 8 2 3" xfId="380" xr:uid="{00000000-0005-0000-0000-00000E020000}"/>
    <cellStyle name="Normal 8 2 4" xfId="181" xr:uid="{00000000-0005-0000-0000-00000F020000}"/>
    <cellStyle name="Normal 8 2 5" xfId="586" xr:uid="{00000000-0005-0000-0000-000010020000}"/>
    <cellStyle name="Normal 8 3" xfId="55" xr:uid="{00000000-0005-0000-0000-000011020000}"/>
    <cellStyle name="Normal 8 3 2" xfId="313" xr:uid="{00000000-0005-0000-0000-000012020000}"/>
    <cellStyle name="Normal 8 3 2 2" xfId="493" xr:uid="{00000000-0005-0000-0000-000013020000}"/>
    <cellStyle name="Normal 8 3 3" xfId="413" xr:uid="{00000000-0005-0000-0000-000014020000}"/>
    <cellStyle name="Normal 8 3 4" xfId="207" xr:uid="{00000000-0005-0000-0000-000015020000}"/>
    <cellStyle name="Normal 8 4" xfId="58" xr:uid="{00000000-0005-0000-0000-000016020000}"/>
    <cellStyle name="Normal 8 4 2" xfId="315" xr:uid="{00000000-0005-0000-0000-000017020000}"/>
    <cellStyle name="Normal 8 4 2 2" xfId="496" xr:uid="{00000000-0005-0000-0000-000018020000}"/>
    <cellStyle name="Normal 8 4 3" xfId="416" xr:uid="{00000000-0005-0000-0000-000019020000}"/>
    <cellStyle name="Normal 8 4 4" xfId="209" xr:uid="{00000000-0005-0000-0000-00001A020000}"/>
    <cellStyle name="Normal 8 5" xfId="46" xr:uid="{00000000-0005-0000-0000-00001B020000}"/>
    <cellStyle name="Normal 8 5 2" xfId="306" xr:uid="{00000000-0005-0000-0000-00001C020000}"/>
    <cellStyle name="Normal 8 5 2 2" xfId="486" xr:uid="{00000000-0005-0000-0000-00001D020000}"/>
    <cellStyle name="Normal 8 5 3" xfId="406" xr:uid="{00000000-0005-0000-0000-00001E020000}"/>
    <cellStyle name="Normal 8 5 4" xfId="200" xr:uid="{00000000-0005-0000-0000-00001F020000}"/>
    <cellStyle name="Normal 8 6" xfId="67" xr:uid="{00000000-0005-0000-0000-000020020000}"/>
    <cellStyle name="Normal 8 6 2" xfId="322" xr:uid="{00000000-0005-0000-0000-000021020000}"/>
    <cellStyle name="Normal 8 6 2 2" xfId="503" xr:uid="{00000000-0005-0000-0000-000022020000}"/>
    <cellStyle name="Normal 8 6 3" xfId="423" xr:uid="{00000000-0005-0000-0000-000023020000}"/>
    <cellStyle name="Normal 8 6 4" xfId="216" xr:uid="{00000000-0005-0000-0000-000024020000}"/>
    <cellStyle name="Normal 8 7" xfId="73" xr:uid="{00000000-0005-0000-0000-000025020000}"/>
    <cellStyle name="Normal 8 7 2" xfId="326" xr:uid="{00000000-0005-0000-0000-000026020000}"/>
    <cellStyle name="Normal 8 7 2 2" xfId="507" xr:uid="{00000000-0005-0000-0000-000027020000}"/>
    <cellStyle name="Normal 8 7 3" xfId="427" xr:uid="{00000000-0005-0000-0000-000028020000}"/>
    <cellStyle name="Normal 8 7 4" xfId="220" xr:uid="{00000000-0005-0000-0000-000029020000}"/>
    <cellStyle name="Normal 8 8" xfId="79" xr:uid="{00000000-0005-0000-0000-00002A020000}"/>
    <cellStyle name="Normal 8 8 2" xfId="330" xr:uid="{00000000-0005-0000-0000-00002B020000}"/>
    <cellStyle name="Normal 8 8 2 2" xfId="511" xr:uid="{00000000-0005-0000-0000-00002C020000}"/>
    <cellStyle name="Normal 8 8 3" xfId="431" xr:uid="{00000000-0005-0000-0000-00002D020000}"/>
    <cellStyle name="Normal 8 8 4" xfId="224" xr:uid="{00000000-0005-0000-0000-00002E020000}"/>
    <cellStyle name="Normal 8 9" xfId="84" xr:uid="{00000000-0005-0000-0000-00002F020000}"/>
    <cellStyle name="Normal 8 9 2" xfId="333" xr:uid="{00000000-0005-0000-0000-000030020000}"/>
    <cellStyle name="Normal 8 9 2 2" xfId="514" xr:uid="{00000000-0005-0000-0000-000031020000}"/>
    <cellStyle name="Normal 8 9 3" xfId="434" xr:uid="{00000000-0005-0000-0000-000032020000}"/>
    <cellStyle name="Normal 8 9 4" xfId="227" xr:uid="{00000000-0005-0000-0000-000033020000}"/>
    <cellStyle name="Normal 9" xfId="28" xr:uid="{00000000-0005-0000-0000-000034020000}"/>
    <cellStyle name="Normal 9 2" xfId="256" xr:uid="{00000000-0005-0000-0000-000035020000}"/>
    <cellStyle name="Normal 9 2 2" xfId="388" xr:uid="{00000000-0005-0000-0000-000036020000}"/>
    <cellStyle name="Normal 9 3" xfId="288" xr:uid="{00000000-0005-0000-0000-000037020000}"/>
    <cellStyle name="Normal 9 3 2" xfId="468" xr:uid="{00000000-0005-0000-0000-000038020000}"/>
    <cellStyle name="Normal 9 4" xfId="359" xr:uid="{00000000-0005-0000-0000-000039020000}"/>
    <cellStyle name="Normal 9 5" xfId="182" xr:uid="{00000000-0005-0000-0000-00003A020000}"/>
    <cellStyle name="Normal 9 6" xfId="589" xr:uid="{00000000-0005-0000-0000-00003B020000}"/>
    <cellStyle name="Normal_Combined Materials &amp; Rates" xfId="4" xr:uid="{00000000-0005-0000-0000-00003C020000}"/>
    <cellStyle name="Normal_Sheet1" xfId="5" xr:uid="{00000000-0005-0000-0000-00003D020000}"/>
    <cellStyle name="Note 2" xfId="136" xr:uid="{00000000-0005-0000-0000-00003E020000}"/>
    <cellStyle name="Note 3" xfId="588" xr:uid="{00000000-0005-0000-0000-00003F020000}"/>
    <cellStyle name="Note 4" xfId="579" xr:uid="{00000000-0005-0000-0000-000040020000}"/>
    <cellStyle name="Output" xfId="547" builtinId="21" customBuiltin="1"/>
    <cellStyle name="Output 2" xfId="131" xr:uid="{00000000-0005-0000-0000-000042020000}"/>
    <cellStyle name="Percent" xfId="6" builtinId="5"/>
    <cellStyle name="Percent 2" xfId="121" xr:uid="{00000000-0005-0000-0000-000044020000}"/>
    <cellStyle name="Percent 2 2" xfId="534" xr:uid="{00000000-0005-0000-0000-000045020000}"/>
    <cellStyle name="Percent 2 3" xfId="274" xr:uid="{00000000-0005-0000-0000-000046020000}"/>
    <cellStyle name="Percent 3" xfId="167" xr:uid="{00000000-0005-0000-0000-000047020000}"/>
    <cellStyle name="Percent 4" xfId="535" xr:uid="{00000000-0005-0000-0000-000048020000}"/>
    <cellStyle name="Percent 4 2" xfId="538" xr:uid="{00000000-0005-0000-0000-000049020000}"/>
    <cellStyle name="Percent 5" xfId="587" xr:uid="{00000000-0005-0000-0000-00004A020000}"/>
    <cellStyle name="Percent 6" xfId="592" xr:uid="{00000000-0005-0000-0000-00004B020000}"/>
    <cellStyle name="Title" xfId="122" builtinId="15" customBuiltin="1"/>
    <cellStyle name="Total" xfId="553" builtinId="25" customBuiltin="1"/>
    <cellStyle name="Total 2" xfId="138" xr:uid="{00000000-0005-0000-0000-00004E020000}"/>
    <cellStyle name="Warning Text" xfId="551" builtinId="11" customBuiltin="1"/>
    <cellStyle name="Warning Text 2" xfId="135" xr:uid="{00000000-0005-0000-0000-000050020000}"/>
  </cellStyles>
  <dxfs count="1">
    <dxf>
      <fill>
        <patternFill patternType="darkHorizontal">
          <fgColor theme="3" tint="0.79998168889431442"/>
        </patternFill>
      </fill>
    </dxf>
  </dxfs>
  <tableStyles count="1" defaultTableStyle="TableStyleMedium9" defaultPivotStyle="PivotStyleLight16">
    <tableStyle name="PivotTable Style 1" table="0" count="1" xr9:uid="{00000000-0011-0000-FFFF-FFFF00000000}">
      <tableStyleElement type="wholeTable" dxfId="0"/>
    </tableStyle>
  </tableStyles>
  <colors>
    <mruColors>
      <color rgb="FFF1C665"/>
      <color rgb="FF7AA456"/>
      <color rgb="FF44688F"/>
      <color rgb="FFD9D9D9"/>
      <color rgb="FFFFD76D"/>
      <color rgb="FF80A8CD"/>
      <color rgb="FFF8A968"/>
      <color rgb="FFFF6600"/>
      <color rgb="FFF1C8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500" b="1" i="0" u="none" strike="noStrike" kern="1200" cap="all" spc="100" normalizeH="0" baseline="0">
                <a:solidFill>
                  <a:schemeClr val="tx1"/>
                </a:solidFill>
                <a:latin typeface="+mn-lt"/>
                <a:ea typeface="+mn-ea"/>
                <a:cs typeface="+mn-cs"/>
              </a:defRPr>
            </a:pPr>
            <a:r>
              <a:rPr lang="en-US">
                <a:solidFill>
                  <a:schemeClr val="tx1"/>
                </a:solidFill>
                <a:latin typeface="Arial" panose="020B0604020202020204" pitchFamily="34" charset="0"/>
                <a:cs typeface="Arial" panose="020B0604020202020204" pitchFamily="34" charset="0"/>
              </a:rPr>
              <a:t>Waste Generation in Washington 2000 – 2022</a:t>
            </a:r>
          </a:p>
        </c:rich>
      </c:tx>
      <c:layout>
        <c:manualLayout>
          <c:xMode val="edge"/>
          <c:yMode val="edge"/>
          <c:x val="3.148818681259237E-2"/>
          <c:y val="2.3170089520800422E-2"/>
        </c:manualLayout>
      </c:layout>
      <c:overlay val="0"/>
      <c:spPr>
        <a:noFill/>
        <a:ln>
          <a:noFill/>
        </a:ln>
        <a:effectLst/>
      </c:spPr>
      <c:txPr>
        <a:bodyPr rot="0" spcFirstLastPara="1" vertOverflow="ellipsis" vert="horz" wrap="square" anchor="ctr" anchorCtr="1"/>
        <a:lstStyle/>
        <a:p>
          <a:pPr>
            <a:defRPr sz="1500" b="1" i="0" u="none" strike="noStrike" kern="1200" cap="all" spc="100" normalizeH="0" baseline="0">
              <a:solidFill>
                <a:schemeClr val="tx1"/>
              </a:solidFill>
              <a:latin typeface="+mn-lt"/>
              <a:ea typeface="+mn-ea"/>
              <a:cs typeface="+mn-cs"/>
            </a:defRPr>
          </a:pPr>
          <a:endParaRPr lang="en-US"/>
        </a:p>
      </c:txPr>
    </c:title>
    <c:autoTitleDeleted val="0"/>
    <c:plotArea>
      <c:layout/>
      <c:areaChart>
        <c:grouping val="stacked"/>
        <c:varyColors val="0"/>
        <c:ser>
          <c:idx val="2"/>
          <c:order val="2"/>
          <c:tx>
            <c:strRef>
              <c:f>'2-Charts'!$B$7</c:f>
              <c:strCache>
                <c:ptCount val="1"/>
                <c:pt idx="0">
                  <c:v>Materials Collected for Recovery (lbs/person/day)</c:v>
                </c:pt>
              </c:strCache>
            </c:strRef>
          </c:tx>
          <c:spPr>
            <a:solidFill>
              <a:srgbClr val="7AA456">
                <a:alpha val="56000"/>
              </a:srgbClr>
            </a:solidFill>
            <a:ln>
              <a:noFill/>
            </a:ln>
            <a:effectLst/>
          </c:spPr>
          <c:dLbls>
            <c:spPr>
              <a:solidFill>
                <a:schemeClr val="accent3"/>
              </a:solidFill>
              <a:ln>
                <a:solidFill>
                  <a:schemeClr val="tx1"/>
                </a:solid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'2-Charts'!$C$4:$Y$4</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2021</c:v>
                </c:pt>
                <c:pt idx="20">
                  <c:v>2022</c:v>
                </c:pt>
              </c:numCache>
            </c:numRef>
          </c:cat>
          <c:val>
            <c:numRef>
              <c:f>'2-Charts'!$C$7:$Y$7</c:f>
              <c:numCache>
                <c:formatCode>0.0</c:formatCode>
                <c:ptCount val="21"/>
                <c:pt idx="0">
                  <c:v>3.6111656317359428</c:v>
                </c:pt>
                <c:pt idx="1">
                  <c:v>3.9122362677591362</c:v>
                </c:pt>
                <c:pt idx="2">
                  <c:v>4.3727297192445187</c:v>
                </c:pt>
                <c:pt idx="3">
                  <c:v>4.6488097800627743</c:v>
                </c:pt>
                <c:pt idx="4">
                  <c:v>5.4948007959598932</c:v>
                </c:pt>
                <c:pt idx="5">
                  <c:v>6.1391865817783229</c:v>
                </c:pt>
                <c:pt idx="6">
                  <c:v>6.5456582931247818</c:v>
                </c:pt>
                <c:pt idx="7">
                  <c:v>6.1123756271240399</c:v>
                </c:pt>
                <c:pt idx="8">
                  <c:v>5.6352850064572051</c:v>
                </c:pt>
                <c:pt idx="9">
                  <c:v>6.0968645295364343</c:v>
                </c:pt>
                <c:pt idx="10">
                  <c:v>6.7014000587747091</c:v>
                </c:pt>
                <c:pt idx="11">
                  <c:v>6.6729169182403565</c:v>
                </c:pt>
                <c:pt idx="12">
                  <c:v>6.302720352400609</c:v>
                </c:pt>
                <c:pt idx="13">
                  <c:v>6.2137806897562013</c:v>
                </c:pt>
                <c:pt idx="14">
                  <c:v>5.991103964381626</c:v>
                </c:pt>
                <c:pt idx="15">
                  <c:v>5.8367581098279562</c:v>
                </c:pt>
                <c:pt idx="16">
                  <c:v>6.1366441792062565</c:v>
                </c:pt>
                <c:pt idx="17">
                  <c:v>6.2414046660434979</c:v>
                </c:pt>
                <c:pt idx="18">
                  <c:v>6.4009757942793453</c:v>
                </c:pt>
                <c:pt idx="19">
                  <c:v>6.1426831852184662</c:v>
                </c:pt>
                <c:pt idx="20">
                  <c:v>5.3905204138456631</c:v>
                </c:pt>
              </c:numCache>
            </c:numRef>
          </c:val>
          <c:extLst>
            <c:ext xmlns:c16="http://schemas.microsoft.com/office/drawing/2014/chart" uri="{C3380CC4-5D6E-409C-BE32-E72D297353CC}">
              <c16:uniqueId val="{00000000-606B-481D-9D4B-9447E1846E3B}"/>
            </c:ext>
          </c:extLst>
        </c:ser>
        <c:ser>
          <c:idx val="3"/>
          <c:order val="3"/>
          <c:tx>
            <c:strRef>
              <c:f>'2-Charts'!$B$8</c:f>
              <c:strCache>
                <c:ptCount val="1"/>
                <c:pt idx="0">
                  <c:v>Solid Waste Disposed "Trash" (lbs/person/day)</c:v>
                </c:pt>
              </c:strCache>
            </c:strRef>
          </c:tx>
          <c:spPr>
            <a:solidFill>
              <a:schemeClr val="accent4">
                <a:alpha val="55000"/>
              </a:schemeClr>
            </a:solidFill>
            <a:ln cap="flat">
              <a:solidFill>
                <a:schemeClr val="bg2">
                  <a:lumMod val="50000"/>
                </a:schemeClr>
              </a:solidFill>
              <a:bevel/>
            </a:ln>
            <a:effectLst/>
          </c:spPr>
          <c:dLbls>
            <c:spPr>
              <a:solidFill>
                <a:schemeClr val="accent4"/>
              </a:solidFill>
              <a:ln>
                <a:solidFill>
                  <a:schemeClr val="tx1"/>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'2-Charts'!$C$4:$Y$4</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2021</c:v>
                </c:pt>
                <c:pt idx="20">
                  <c:v>2022</c:v>
                </c:pt>
              </c:numCache>
            </c:numRef>
          </c:cat>
          <c:val>
            <c:numRef>
              <c:f>'2-Charts'!$C$8:$Y$8</c:f>
              <c:numCache>
                <c:formatCode>0.0</c:formatCode>
                <c:ptCount val="21"/>
                <c:pt idx="0">
                  <c:v>6.1143607666676507</c:v>
                </c:pt>
                <c:pt idx="1">
                  <c:v>5.7431699556323714</c:v>
                </c:pt>
                <c:pt idx="2">
                  <c:v>5.501675685931037</c:v>
                </c:pt>
                <c:pt idx="3">
                  <c:v>5.4751011660446691</c:v>
                </c:pt>
                <c:pt idx="4">
                  <c:v>5.7597159557070512</c:v>
                </c:pt>
                <c:pt idx="5">
                  <c:v>6.6952763045657546</c:v>
                </c:pt>
                <c:pt idx="6">
                  <c:v>6.6235217126240116</c:v>
                </c:pt>
                <c:pt idx="7">
                  <c:v>6.7870811939575155</c:v>
                </c:pt>
                <c:pt idx="8">
                  <c:v>6.2329120066111301</c:v>
                </c:pt>
                <c:pt idx="9">
                  <c:v>5.0313870487172965</c:v>
                </c:pt>
                <c:pt idx="10">
                  <c:v>5.7389866227443944</c:v>
                </c:pt>
                <c:pt idx="11">
                  <c:v>5.1133023072048207</c:v>
                </c:pt>
                <c:pt idx="12">
                  <c:v>5.7348360703086909</c:v>
                </c:pt>
                <c:pt idx="13">
                  <c:v>5.9867133159984025</c:v>
                </c:pt>
                <c:pt idx="14">
                  <c:v>6.4063271815573284</c:v>
                </c:pt>
                <c:pt idx="15">
                  <c:v>6.5731391183021328</c:v>
                </c:pt>
                <c:pt idx="16">
                  <c:v>6.7651962004545689</c:v>
                </c:pt>
                <c:pt idx="17">
                  <c:v>6.6161598082945083</c:v>
                </c:pt>
                <c:pt idx="18">
                  <c:v>6.7745098809118423</c:v>
                </c:pt>
                <c:pt idx="19">
                  <c:v>6.3658081107602635</c:v>
                </c:pt>
                <c:pt idx="20">
                  <c:v>7.2946745933869401</c:v>
                </c:pt>
              </c:numCache>
            </c:numRef>
          </c:val>
          <c:extLst>
            <c:ext xmlns:c16="http://schemas.microsoft.com/office/drawing/2014/chart" uri="{C3380CC4-5D6E-409C-BE32-E72D297353CC}">
              <c16:uniqueId val="{00000001-606B-481D-9D4B-9447E1846E3B}"/>
            </c:ext>
          </c:extLst>
        </c:ser>
        <c:dLbls>
          <c:showLegendKey val="0"/>
          <c:showVal val="0"/>
          <c:showCatName val="0"/>
          <c:showSerName val="0"/>
          <c:showPercent val="0"/>
          <c:showBubbleSize val="0"/>
        </c:dLbls>
        <c:axId val="144729864"/>
        <c:axId val="230307104"/>
      </c:areaChart>
      <c:lineChart>
        <c:grouping val="standard"/>
        <c:varyColors val="0"/>
        <c:ser>
          <c:idx val="0"/>
          <c:order val="0"/>
          <c:tx>
            <c:strRef>
              <c:f>'2-Charts'!$B$5</c:f>
              <c:strCache>
                <c:ptCount val="1"/>
                <c:pt idx="0">
                  <c:v>Solid Waste Generated (recoverable portion)</c:v>
                </c:pt>
              </c:strCache>
            </c:strRef>
          </c:tx>
          <c:spPr>
            <a:ln w="34925" cap="rnd">
              <a:solidFill>
                <a:srgbClr val="44688F"/>
              </a:solidFill>
              <a:prstDash val="solid"/>
              <a:round/>
            </a:ln>
            <a:effectLst>
              <a:outerShdw dist="25400" dir="2700000" algn="tl" rotWithShape="0">
                <a:schemeClr val="accent4">
                  <a:shade val="58000"/>
                </a:schemeClr>
              </a:outerShdw>
            </a:effectLst>
          </c:spPr>
          <c:marker>
            <c:symbol val="none"/>
          </c:marker>
          <c:dLbls>
            <c:dLbl>
              <c:idx val="0"/>
              <c:layout>
                <c:manualLayout>
                  <c:x val="-2.3691336828510472E-2"/>
                  <c:y val="-5.09053397136247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06B-481D-9D4B-9447E1846E3B}"/>
                </c:ext>
              </c:extLst>
            </c:dLbl>
            <c:dLbl>
              <c:idx val="1"/>
              <c:delete val="1"/>
              <c:extLst>
                <c:ext xmlns:c15="http://schemas.microsoft.com/office/drawing/2012/chart" uri="{CE6537A1-D6FC-4f65-9D91-7224C49458BB}"/>
                <c:ext xmlns:c16="http://schemas.microsoft.com/office/drawing/2014/chart" uri="{C3380CC4-5D6E-409C-BE32-E72D297353CC}">
                  <c16:uniqueId val="{00000003-606B-481D-9D4B-9447E1846E3B}"/>
                </c:ext>
              </c:extLst>
            </c:dLbl>
            <c:dLbl>
              <c:idx val="2"/>
              <c:delete val="1"/>
              <c:extLst>
                <c:ext xmlns:c15="http://schemas.microsoft.com/office/drawing/2012/chart" uri="{CE6537A1-D6FC-4f65-9D91-7224C49458BB}"/>
                <c:ext xmlns:c16="http://schemas.microsoft.com/office/drawing/2014/chart" uri="{C3380CC4-5D6E-409C-BE32-E72D297353CC}">
                  <c16:uniqueId val="{00000004-606B-481D-9D4B-9447E1846E3B}"/>
                </c:ext>
              </c:extLst>
            </c:dLbl>
            <c:dLbl>
              <c:idx val="3"/>
              <c:delete val="1"/>
              <c:extLst>
                <c:ext xmlns:c15="http://schemas.microsoft.com/office/drawing/2012/chart" uri="{CE6537A1-D6FC-4f65-9D91-7224C49458BB}"/>
                <c:ext xmlns:c16="http://schemas.microsoft.com/office/drawing/2014/chart" uri="{C3380CC4-5D6E-409C-BE32-E72D297353CC}">
                  <c16:uniqueId val="{00000005-606B-481D-9D4B-9447E1846E3B}"/>
                </c:ext>
              </c:extLst>
            </c:dLbl>
            <c:dLbl>
              <c:idx val="4"/>
              <c:delete val="1"/>
              <c:extLst>
                <c:ext xmlns:c15="http://schemas.microsoft.com/office/drawing/2012/chart" uri="{CE6537A1-D6FC-4f65-9D91-7224C49458BB}"/>
                <c:ext xmlns:c16="http://schemas.microsoft.com/office/drawing/2014/chart" uri="{C3380CC4-5D6E-409C-BE32-E72D297353CC}">
                  <c16:uniqueId val="{00000006-606B-481D-9D4B-9447E1846E3B}"/>
                </c:ext>
              </c:extLst>
            </c:dLbl>
            <c:dLbl>
              <c:idx val="5"/>
              <c:delete val="1"/>
              <c:extLst>
                <c:ext xmlns:c15="http://schemas.microsoft.com/office/drawing/2012/chart" uri="{CE6537A1-D6FC-4f65-9D91-7224C49458BB}"/>
                <c:ext xmlns:c16="http://schemas.microsoft.com/office/drawing/2014/chart" uri="{C3380CC4-5D6E-409C-BE32-E72D297353CC}">
                  <c16:uniqueId val="{00000007-606B-481D-9D4B-9447E1846E3B}"/>
                </c:ext>
              </c:extLst>
            </c:dLbl>
            <c:dLbl>
              <c:idx val="6"/>
              <c:layout>
                <c:manualLayout>
                  <c:x val="-2.3691336828510552E-2"/>
                  <c:y val="-3.89934892826956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06B-481D-9D4B-9447E1846E3B}"/>
                </c:ext>
              </c:extLst>
            </c:dLbl>
            <c:dLbl>
              <c:idx val="7"/>
              <c:delete val="1"/>
              <c:extLst>
                <c:ext xmlns:c15="http://schemas.microsoft.com/office/drawing/2012/chart" uri="{CE6537A1-D6FC-4f65-9D91-7224C49458BB}"/>
                <c:ext xmlns:c16="http://schemas.microsoft.com/office/drawing/2014/chart" uri="{C3380CC4-5D6E-409C-BE32-E72D297353CC}">
                  <c16:uniqueId val="{00000009-606B-481D-9D4B-9447E1846E3B}"/>
                </c:ext>
              </c:extLst>
            </c:dLbl>
            <c:dLbl>
              <c:idx val="8"/>
              <c:delete val="1"/>
              <c:extLst>
                <c:ext xmlns:c15="http://schemas.microsoft.com/office/drawing/2012/chart" uri="{CE6537A1-D6FC-4f65-9D91-7224C49458BB}"/>
                <c:ext xmlns:c16="http://schemas.microsoft.com/office/drawing/2014/chart" uri="{C3380CC4-5D6E-409C-BE32-E72D297353CC}">
                  <c16:uniqueId val="{0000000A-606B-481D-9D4B-9447E1846E3B}"/>
                </c:ext>
              </c:extLst>
            </c:dLbl>
            <c:dLbl>
              <c:idx val="9"/>
              <c:delete val="1"/>
              <c:extLst>
                <c:ext xmlns:c15="http://schemas.microsoft.com/office/drawing/2012/chart" uri="{CE6537A1-D6FC-4f65-9D91-7224C49458BB}"/>
                <c:ext xmlns:c16="http://schemas.microsoft.com/office/drawing/2014/chart" uri="{C3380CC4-5D6E-409C-BE32-E72D297353CC}">
                  <c16:uniqueId val="{0000000B-606B-481D-9D4B-9447E1846E3B}"/>
                </c:ext>
              </c:extLst>
            </c:dLbl>
            <c:dLbl>
              <c:idx val="10"/>
              <c:delete val="1"/>
              <c:extLst>
                <c:ext xmlns:c15="http://schemas.microsoft.com/office/drawing/2012/chart" uri="{CE6537A1-D6FC-4f65-9D91-7224C49458BB}"/>
                <c:ext xmlns:c16="http://schemas.microsoft.com/office/drawing/2014/chart" uri="{C3380CC4-5D6E-409C-BE32-E72D297353CC}">
                  <c16:uniqueId val="{0000000C-606B-481D-9D4B-9447E1846E3B}"/>
                </c:ext>
              </c:extLst>
            </c:dLbl>
            <c:dLbl>
              <c:idx val="11"/>
              <c:delete val="1"/>
              <c:extLst>
                <c:ext xmlns:c15="http://schemas.microsoft.com/office/drawing/2012/chart" uri="{CE6537A1-D6FC-4f65-9D91-7224C49458BB}"/>
                <c:ext xmlns:c16="http://schemas.microsoft.com/office/drawing/2014/chart" uri="{C3380CC4-5D6E-409C-BE32-E72D297353CC}">
                  <c16:uniqueId val="{0000000D-606B-481D-9D4B-9447E1846E3B}"/>
                </c:ext>
              </c:extLst>
            </c:dLbl>
            <c:dLbl>
              <c:idx val="12"/>
              <c:delete val="1"/>
              <c:extLst>
                <c:ext xmlns:c15="http://schemas.microsoft.com/office/drawing/2012/chart" uri="{CE6537A1-D6FC-4f65-9D91-7224C49458BB}"/>
                <c:ext xmlns:c16="http://schemas.microsoft.com/office/drawing/2014/chart" uri="{C3380CC4-5D6E-409C-BE32-E72D297353CC}">
                  <c16:uniqueId val="{0000000E-606B-481D-9D4B-9447E1846E3B}"/>
                </c:ext>
              </c:extLst>
            </c:dLbl>
            <c:dLbl>
              <c:idx val="13"/>
              <c:delete val="1"/>
              <c:extLst>
                <c:ext xmlns:c15="http://schemas.microsoft.com/office/drawing/2012/chart" uri="{CE6537A1-D6FC-4f65-9D91-7224C49458BB}"/>
                <c:ext xmlns:c16="http://schemas.microsoft.com/office/drawing/2014/chart" uri="{C3380CC4-5D6E-409C-BE32-E72D297353CC}">
                  <c16:uniqueId val="{0000000F-606B-481D-9D4B-9447E1846E3B}"/>
                </c:ext>
              </c:extLst>
            </c:dLbl>
            <c:dLbl>
              <c:idx val="14"/>
              <c:delete val="1"/>
              <c:extLst>
                <c:ext xmlns:c15="http://schemas.microsoft.com/office/drawing/2012/chart" uri="{CE6537A1-D6FC-4f65-9D91-7224C49458BB}"/>
                <c:ext xmlns:c16="http://schemas.microsoft.com/office/drawing/2014/chart" uri="{C3380CC4-5D6E-409C-BE32-E72D297353CC}">
                  <c16:uniqueId val="{00000010-606B-481D-9D4B-9447E1846E3B}"/>
                </c:ext>
              </c:extLst>
            </c:dLbl>
            <c:dLbl>
              <c:idx val="15"/>
              <c:delete val="1"/>
              <c:extLst>
                <c:ext xmlns:c15="http://schemas.microsoft.com/office/drawing/2012/chart" uri="{CE6537A1-D6FC-4f65-9D91-7224C49458BB}"/>
                <c:ext xmlns:c16="http://schemas.microsoft.com/office/drawing/2014/chart" uri="{C3380CC4-5D6E-409C-BE32-E72D297353CC}">
                  <c16:uniqueId val="{00000011-606B-481D-9D4B-9447E1846E3B}"/>
                </c:ext>
              </c:extLst>
            </c:dLbl>
            <c:dLbl>
              <c:idx val="16"/>
              <c:delete val="1"/>
              <c:extLst>
                <c:ext xmlns:c15="http://schemas.microsoft.com/office/drawing/2012/chart" uri="{CE6537A1-D6FC-4f65-9D91-7224C49458BB}"/>
                <c:ext xmlns:c16="http://schemas.microsoft.com/office/drawing/2014/chart" uri="{C3380CC4-5D6E-409C-BE32-E72D297353CC}">
                  <c16:uniqueId val="{00000012-606B-481D-9D4B-9447E1846E3B}"/>
                </c:ext>
              </c:extLst>
            </c:dLbl>
            <c:dLbl>
              <c:idx val="17"/>
              <c:delete val="1"/>
              <c:extLst>
                <c:ext xmlns:c15="http://schemas.microsoft.com/office/drawing/2012/chart" uri="{CE6537A1-D6FC-4f65-9D91-7224C49458BB}"/>
                <c:ext xmlns:c16="http://schemas.microsoft.com/office/drawing/2014/chart" uri="{C3380CC4-5D6E-409C-BE32-E72D297353CC}">
                  <c16:uniqueId val="{00000000-89F0-4A57-BE4B-F3E25B240076}"/>
                </c:ext>
              </c:extLst>
            </c:dLbl>
            <c:dLbl>
              <c:idx val="18"/>
              <c:delete val="1"/>
              <c:extLst>
                <c:ext xmlns:c15="http://schemas.microsoft.com/office/drawing/2012/chart" uri="{CE6537A1-D6FC-4f65-9D91-7224C49458BB}"/>
                <c:ext xmlns:c16="http://schemas.microsoft.com/office/drawing/2014/chart" uri="{C3380CC4-5D6E-409C-BE32-E72D297353CC}">
                  <c16:uniqueId val="{00000000-2576-4BB9-B417-751EB808E51C}"/>
                </c:ext>
              </c:extLst>
            </c:dLbl>
            <c:numFmt formatCode="#,##0.0" sourceLinked="0"/>
            <c:spPr>
              <a:solidFill>
                <a:srgbClr val="44688F"/>
              </a:solidFill>
              <a:ln>
                <a:solidFill>
                  <a:schemeClr val="accent4">
                    <a:shade val="58000"/>
                  </a:schemeClr>
                </a:solidFill>
              </a:ln>
              <a:effectLst/>
            </c:spPr>
            <c:txPr>
              <a:bodyPr rot="0" spcFirstLastPara="1" vertOverflow="clip" horzOverflow="clip" vert="horz" wrap="square" lIns="36576" tIns="18288" rIns="36576" bIns="18288" anchor="ctr" anchorCtr="1">
                <a:spAutoFit/>
              </a:bodyPr>
              <a:lstStyle/>
              <a:p>
                <a:pPr>
                  <a:defRPr sz="1400" b="1" i="0" u="none" strike="noStrike" kern="1200" baseline="0">
                    <a:solidFill>
                      <a:schemeClr val="bg1"/>
                    </a:solidFill>
                    <a:latin typeface="+mn-lt"/>
                    <a:ea typeface="+mn-ea"/>
                    <a:cs typeface="+mn-cs"/>
                  </a:defRPr>
                </a:pPr>
                <a:endParaRPr lang="en-US"/>
              </a:p>
            </c:txPr>
            <c:dLblPos val="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0"/>
              </c:ext>
            </c:extLst>
          </c:dLbls>
          <c:cat>
            <c:numRef>
              <c:f>'2-Charts'!$C$4:$Y$4</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2021</c:v>
                </c:pt>
                <c:pt idx="20">
                  <c:v>2022</c:v>
                </c:pt>
              </c:numCache>
            </c:numRef>
          </c:cat>
          <c:val>
            <c:numRef>
              <c:f>'2-Charts'!$C$5:$Y$5</c:f>
              <c:numCache>
                <c:formatCode>_(* #,##0_);_(* \(#,##0\);_(* "-"??_);_(@_)</c:formatCode>
                <c:ptCount val="21"/>
                <c:pt idx="0">
                  <c:v>10461564.91</c:v>
                </c:pt>
                <c:pt idx="1">
                  <c:v>10520602.940000001</c:v>
                </c:pt>
                <c:pt idx="2">
                  <c:v>10920054.43</c:v>
                </c:pt>
                <c:pt idx="3">
                  <c:v>11320176.079999998</c:v>
                </c:pt>
                <c:pt idx="4">
                  <c:v>12752010</c:v>
                </c:pt>
                <c:pt idx="5">
                  <c:v>14753605.929333564</c:v>
                </c:pt>
                <c:pt idx="6">
                  <c:v>15430196.092937453</c:v>
                </c:pt>
                <c:pt idx="7">
                  <c:v>15361119.278009433</c:v>
                </c:pt>
                <c:pt idx="8">
                  <c:v>14313077.701233331</c:v>
                </c:pt>
                <c:pt idx="9">
                  <c:v>13550738.379999999</c:v>
                </c:pt>
                <c:pt idx="10">
                  <c:v>15267197.708600001</c:v>
                </c:pt>
                <c:pt idx="11">
                  <c:v>14557651.440000001</c:v>
                </c:pt>
                <c:pt idx="12">
                  <c:v>14977645.616999999</c:v>
                </c:pt>
                <c:pt idx="13">
                  <c:v>15324284.09</c:v>
                </c:pt>
                <c:pt idx="14">
                  <c:v>15765701.921346031</c:v>
                </c:pt>
                <c:pt idx="15">
                  <c:v>15992725.460388441</c:v>
                </c:pt>
                <c:pt idx="16">
                  <c:v>16914638.509204928</c:v>
                </c:pt>
                <c:pt idx="17">
                  <c:v>17153659.277757447</c:v>
                </c:pt>
                <c:pt idx="18">
                  <c:v>17859786.189907566</c:v>
                </c:pt>
                <c:pt idx="19">
                  <c:v>17477570.768499702</c:v>
                </c:pt>
                <c:pt idx="20">
                  <c:v>18206464.189715616</c:v>
                </c:pt>
              </c:numCache>
            </c:numRef>
          </c:val>
          <c:smooth val="0"/>
          <c:extLst>
            <c:ext xmlns:c16="http://schemas.microsoft.com/office/drawing/2014/chart" uri="{C3380CC4-5D6E-409C-BE32-E72D297353CC}">
              <c16:uniqueId val="{00000014-606B-481D-9D4B-9447E1846E3B}"/>
            </c:ext>
          </c:extLst>
        </c:ser>
        <c:dLbls>
          <c:showLegendKey val="0"/>
          <c:showVal val="1"/>
          <c:showCatName val="0"/>
          <c:showSerName val="0"/>
          <c:showPercent val="0"/>
          <c:showBubbleSize val="0"/>
        </c:dLbls>
        <c:marker val="1"/>
        <c:smooth val="0"/>
        <c:axId val="233741824"/>
        <c:axId val="231824384"/>
        <c:extLst>
          <c:ext xmlns:c15="http://schemas.microsoft.com/office/drawing/2012/chart" uri="{02D57815-91ED-43cb-92C2-25804820EDAC}">
            <c15:filteredLineSeries>
              <c15:ser>
                <c:idx val="1"/>
                <c:order val="1"/>
                <c:tx>
                  <c:strRef>
                    <c:extLst>
                      <c:ext uri="{02D57815-91ED-43cb-92C2-25804820EDAC}">
                        <c15:formulaRef>
                          <c15:sqref>'2-Charts'!$B$6</c15:sqref>
                        </c15:formulaRef>
                      </c:ext>
                    </c:extLst>
                    <c:strCache>
                      <c:ptCount val="1"/>
                      <c:pt idx="0">
                        <c:v>Population</c:v>
                      </c:pt>
                    </c:strCache>
                  </c:strRef>
                </c:tx>
                <c:spPr>
                  <a:ln w="34925" cap="rnd" cmpd="sng">
                    <a:solidFill>
                      <a:srgbClr val="FFD76D"/>
                    </a:solidFill>
                    <a:prstDash val="lgDash"/>
                    <a:round/>
                    <a:headEnd type="none"/>
                  </a:ln>
                  <a:effectLst>
                    <a:outerShdw dist="25400" dir="2700000" algn="tl" rotWithShape="0">
                      <a:schemeClr val="accent4">
                        <a:shade val="86000"/>
                      </a:schemeClr>
                    </a:outerShdw>
                  </a:effectLst>
                </c:spPr>
                <c:marker>
                  <c:symbol val="none"/>
                </c:marker>
                <c:dLbls>
                  <c:dLbl>
                    <c:idx val="0"/>
                    <c:layout>
                      <c:manualLayout>
                        <c:x val="-3.6273701566364384E-2"/>
                        <c:y val="4.2127435492363627E-3"/>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15-606B-481D-9D4B-9447E1846E3B}"/>
                      </c:ext>
                    </c:extLst>
                  </c:dLbl>
                  <c:dLbl>
                    <c:idx val="1"/>
                    <c:delete val="1"/>
                    <c:extLst>
                      <c:ext uri="{CE6537A1-D6FC-4f65-9D91-7224C49458BB}"/>
                      <c:ext xmlns:c16="http://schemas.microsoft.com/office/drawing/2014/chart" uri="{C3380CC4-5D6E-409C-BE32-E72D297353CC}">
                        <c16:uniqueId val="{00000016-606B-481D-9D4B-9447E1846E3B}"/>
                      </c:ext>
                    </c:extLst>
                  </c:dLbl>
                  <c:dLbl>
                    <c:idx val="2"/>
                    <c:delete val="1"/>
                    <c:extLst>
                      <c:ext uri="{CE6537A1-D6FC-4f65-9D91-7224C49458BB}"/>
                      <c:ext xmlns:c16="http://schemas.microsoft.com/office/drawing/2014/chart" uri="{C3380CC4-5D6E-409C-BE32-E72D297353CC}">
                        <c16:uniqueId val="{00000017-606B-481D-9D4B-9447E1846E3B}"/>
                      </c:ext>
                    </c:extLst>
                  </c:dLbl>
                  <c:dLbl>
                    <c:idx val="3"/>
                    <c:delete val="1"/>
                    <c:extLst>
                      <c:ext uri="{CE6537A1-D6FC-4f65-9D91-7224C49458BB}"/>
                      <c:ext xmlns:c16="http://schemas.microsoft.com/office/drawing/2014/chart" uri="{C3380CC4-5D6E-409C-BE32-E72D297353CC}">
                        <c16:uniqueId val="{00000018-606B-481D-9D4B-9447E1846E3B}"/>
                      </c:ext>
                    </c:extLst>
                  </c:dLbl>
                  <c:dLbl>
                    <c:idx val="4"/>
                    <c:delete val="1"/>
                    <c:extLst>
                      <c:ext uri="{CE6537A1-D6FC-4f65-9D91-7224C49458BB}"/>
                      <c:ext xmlns:c16="http://schemas.microsoft.com/office/drawing/2014/chart" uri="{C3380CC4-5D6E-409C-BE32-E72D297353CC}">
                        <c16:uniqueId val="{00000019-606B-481D-9D4B-9447E1846E3B}"/>
                      </c:ext>
                    </c:extLst>
                  </c:dLbl>
                  <c:dLbl>
                    <c:idx val="5"/>
                    <c:delete val="1"/>
                    <c:extLst>
                      <c:ext uri="{CE6537A1-D6FC-4f65-9D91-7224C49458BB}"/>
                      <c:ext xmlns:c16="http://schemas.microsoft.com/office/drawing/2014/chart" uri="{C3380CC4-5D6E-409C-BE32-E72D297353CC}">
                        <c16:uniqueId val="{0000001A-606B-481D-9D4B-9447E1846E3B}"/>
                      </c:ext>
                    </c:extLst>
                  </c:dLbl>
                  <c:dLbl>
                    <c:idx val="6"/>
                    <c:delete val="1"/>
                    <c:extLst>
                      <c:ext uri="{CE6537A1-D6FC-4f65-9D91-7224C49458BB}"/>
                      <c:ext xmlns:c16="http://schemas.microsoft.com/office/drawing/2014/chart" uri="{C3380CC4-5D6E-409C-BE32-E72D297353CC}">
                        <c16:uniqueId val="{0000001B-606B-481D-9D4B-9447E1846E3B}"/>
                      </c:ext>
                    </c:extLst>
                  </c:dLbl>
                  <c:dLbl>
                    <c:idx val="7"/>
                    <c:delete val="1"/>
                    <c:extLst>
                      <c:ext uri="{CE6537A1-D6FC-4f65-9D91-7224C49458BB}"/>
                      <c:ext xmlns:c16="http://schemas.microsoft.com/office/drawing/2014/chart" uri="{C3380CC4-5D6E-409C-BE32-E72D297353CC}">
                        <c16:uniqueId val="{0000001C-606B-481D-9D4B-9447E1846E3B}"/>
                      </c:ext>
                    </c:extLst>
                  </c:dLbl>
                  <c:dLbl>
                    <c:idx val="8"/>
                    <c:delete val="1"/>
                    <c:extLst>
                      <c:ext uri="{CE6537A1-D6FC-4f65-9D91-7224C49458BB}"/>
                      <c:ext xmlns:c16="http://schemas.microsoft.com/office/drawing/2014/chart" uri="{C3380CC4-5D6E-409C-BE32-E72D297353CC}">
                        <c16:uniqueId val="{0000001D-606B-481D-9D4B-9447E1846E3B}"/>
                      </c:ext>
                    </c:extLst>
                  </c:dLbl>
                  <c:dLbl>
                    <c:idx val="9"/>
                    <c:delete val="1"/>
                    <c:extLst>
                      <c:ext uri="{CE6537A1-D6FC-4f65-9D91-7224C49458BB}"/>
                      <c:ext xmlns:c16="http://schemas.microsoft.com/office/drawing/2014/chart" uri="{C3380CC4-5D6E-409C-BE32-E72D297353CC}">
                        <c16:uniqueId val="{0000001E-606B-481D-9D4B-9447E1846E3B}"/>
                      </c:ext>
                    </c:extLst>
                  </c:dLbl>
                  <c:dLbl>
                    <c:idx val="10"/>
                    <c:delete val="1"/>
                    <c:extLst>
                      <c:ext uri="{CE6537A1-D6FC-4f65-9D91-7224C49458BB}"/>
                      <c:ext xmlns:c16="http://schemas.microsoft.com/office/drawing/2014/chart" uri="{C3380CC4-5D6E-409C-BE32-E72D297353CC}">
                        <c16:uniqueId val="{0000001F-606B-481D-9D4B-9447E1846E3B}"/>
                      </c:ext>
                    </c:extLst>
                  </c:dLbl>
                  <c:dLbl>
                    <c:idx val="11"/>
                    <c:delete val="1"/>
                    <c:extLst>
                      <c:ext uri="{CE6537A1-D6FC-4f65-9D91-7224C49458BB}"/>
                      <c:ext xmlns:c16="http://schemas.microsoft.com/office/drawing/2014/chart" uri="{C3380CC4-5D6E-409C-BE32-E72D297353CC}">
                        <c16:uniqueId val="{00000020-606B-481D-9D4B-9447E1846E3B}"/>
                      </c:ext>
                    </c:extLst>
                  </c:dLbl>
                  <c:dLbl>
                    <c:idx val="12"/>
                    <c:delete val="1"/>
                    <c:extLst>
                      <c:ext uri="{CE6537A1-D6FC-4f65-9D91-7224C49458BB}"/>
                      <c:ext xmlns:c16="http://schemas.microsoft.com/office/drawing/2014/chart" uri="{C3380CC4-5D6E-409C-BE32-E72D297353CC}">
                        <c16:uniqueId val="{00000021-606B-481D-9D4B-9447E1846E3B}"/>
                      </c:ext>
                    </c:extLst>
                  </c:dLbl>
                  <c:dLbl>
                    <c:idx val="13"/>
                    <c:delete val="1"/>
                    <c:extLst>
                      <c:ext uri="{CE6537A1-D6FC-4f65-9D91-7224C49458BB}"/>
                      <c:ext xmlns:c16="http://schemas.microsoft.com/office/drawing/2014/chart" uri="{C3380CC4-5D6E-409C-BE32-E72D297353CC}">
                        <c16:uniqueId val="{00000022-606B-481D-9D4B-9447E1846E3B}"/>
                      </c:ext>
                    </c:extLst>
                  </c:dLbl>
                  <c:dLbl>
                    <c:idx val="14"/>
                    <c:delete val="1"/>
                    <c:extLst>
                      <c:ext uri="{CE6537A1-D6FC-4f65-9D91-7224C49458BB}"/>
                      <c:ext xmlns:c16="http://schemas.microsoft.com/office/drawing/2014/chart" uri="{C3380CC4-5D6E-409C-BE32-E72D297353CC}">
                        <c16:uniqueId val="{00000023-606B-481D-9D4B-9447E1846E3B}"/>
                      </c:ext>
                    </c:extLst>
                  </c:dLbl>
                  <c:dLbl>
                    <c:idx val="15"/>
                    <c:delete val="1"/>
                    <c:extLst>
                      <c:ext uri="{CE6537A1-D6FC-4f65-9D91-7224C49458BB}"/>
                      <c:ext xmlns:c16="http://schemas.microsoft.com/office/drawing/2014/chart" uri="{C3380CC4-5D6E-409C-BE32-E72D297353CC}">
                        <c16:uniqueId val="{00000024-606B-481D-9D4B-9447E1846E3B}"/>
                      </c:ext>
                    </c:extLst>
                  </c:dLbl>
                  <c:dLbl>
                    <c:idx val="16"/>
                    <c:delete val="1"/>
                    <c:extLst>
                      <c:ext uri="{CE6537A1-D6FC-4f65-9D91-7224C49458BB}"/>
                      <c:ext xmlns:c16="http://schemas.microsoft.com/office/drawing/2014/chart" uri="{C3380CC4-5D6E-409C-BE32-E72D297353CC}">
                        <c16:uniqueId val="{00000025-606B-481D-9D4B-9447E1846E3B}"/>
                      </c:ext>
                    </c:extLst>
                  </c:dLbl>
                  <c:numFmt formatCode="#,##0.00" sourceLinked="0"/>
                  <c:spPr>
                    <a:solidFill>
                      <a:srgbClr val="FFD76D"/>
                    </a:solid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uri="{CE6537A1-D6FC-4f65-9D91-7224C49458BB}">
                      <c15:showLeaderLines val="0"/>
                    </c:ext>
                  </c:extLst>
                </c:dLbls>
                <c:cat>
                  <c:numRef>
                    <c:extLst>
                      <c:ext uri="{02D57815-91ED-43cb-92C2-25804820EDAC}">
                        <c15:formulaRef>
                          <c15:sqref>'2-Charts'!$C$4:$Y$4</c15:sqref>
                        </c15:formulaRef>
                      </c:ext>
                    </c:extLst>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2021</c:v>
                      </c:pt>
                      <c:pt idx="20">
                        <c:v>2022</c:v>
                      </c:pt>
                    </c:numCache>
                  </c:numRef>
                </c:cat>
                <c:val>
                  <c:numRef>
                    <c:extLst>
                      <c:ext uri="{02D57815-91ED-43cb-92C2-25804820EDAC}">
                        <c15:formulaRef>
                          <c15:sqref>'2-Charts'!$C$6:$S$6</c15:sqref>
                        </c15:formulaRef>
                      </c:ext>
                    </c:extLst>
                    <c:numCache>
                      <c:formatCode>_(* #,##0_);_(* \(#,##0\);_(* "-"??_);_(@_)</c:formatCode>
                      <c:ptCount val="17"/>
                      <c:pt idx="0">
                        <c:v>5894143</c:v>
                      </c:pt>
                      <c:pt idx="1">
                        <c:v>5970452</c:v>
                      </c:pt>
                      <c:pt idx="2">
                        <c:v>6059698</c:v>
                      </c:pt>
                      <c:pt idx="3">
                        <c:v>6126917</c:v>
                      </c:pt>
                      <c:pt idx="4">
                        <c:v>6208532</c:v>
                      </c:pt>
                      <c:pt idx="5">
                        <c:v>6298797</c:v>
                      </c:pt>
                      <c:pt idx="6">
                        <c:v>6420219</c:v>
                      </c:pt>
                      <c:pt idx="7">
                        <c:v>6525121</c:v>
                      </c:pt>
                      <c:pt idx="8">
                        <c:v>6608234</c:v>
                      </c:pt>
                      <c:pt idx="9">
                        <c:v>6672263</c:v>
                      </c:pt>
                      <c:pt idx="10">
                        <c:v>6724540</c:v>
                      </c:pt>
                      <c:pt idx="11">
                        <c:v>6767900</c:v>
                      </c:pt>
                      <c:pt idx="12">
                        <c:v>6817770</c:v>
                      </c:pt>
                      <c:pt idx="13">
                        <c:v>6882400</c:v>
                      </c:pt>
                      <c:pt idx="14">
                        <c:v>6968170</c:v>
                      </c:pt>
                      <c:pt idx="15">
                        <c:v>7061410</c:v>
                      </c:pt>
                      <c:pt idx="16">
                        <c:v>7183700</c:v>
                      </c:pt>
                    </c:numCache>
                  </c:numRef>
                </c:val>
                <c:smooth val="0"/>
                <c:extLst>
                  <c:ext xmlns:c16="http://schemas.microsoft.com/office/drawing/2014/chart" uri="{C3380CC4-5D6E-409C-BE32-E72D297353CC}">
                    <c16:uniqueId val="{00000026-606B-481D-9D4B-9447E1846E3B}"/>
                  </c:ext>
                </c:extLst>
              </c15:ser>
            </c15:filteredLineSeries>
          </c:ext>
        </c:extLst>
      </c:lineChart>
      <c:catAx>
        <c:axId val="233741824"/>
        <c:scaling>
          <c:orientation val="minMax"/>
        </c:scaling>
        <c:delete val="0"/>
        <c:axPos val="b"/>
        <c:majorGridlines>
          <c:spPr>
            <a:ln w="9525" cap="flat" cmpd="sng" algn="ctr">
              <a:solidFill>
                <a:schemeClr val="tx1">
                  <a:alpha val="25000"/>
                </a:schemeClr>
              </a:solidFill>
              <a:round/>
            </a:ln>
            <a:effectLst/>
          </c:spPr>
        </c:majorGridlines>
        <c:numFmt formatCode="General" sourceLinked="1"/>
        <c:majorTickMark val="none"/>
        <c:minorTickMark val="none"/>
        <c:tickLblPos val="nextTo"/>
        <c:spPr>
          <a:noFill/>
          <a:ln w="12700" cap="flat" cmpd="sng" algn="ctr">
            <a:solidFill>
              <a:schemeClr val="lt1"/>
            </a:solidFill>
            <a:round/>
          </a:ln>
          <a:effectLst/>
        </c:spPr>
        <c:txPr>
          <a:bodyPr rot="-5400000" spcFirstLastPara="1" vertOverflow="ellipsis" wrap="square" anchor="ctr" anchorCtr="1"/>
          <a:lstStyle/>
          <a:p>
            <a:pPr>
              <a:defRPr sz="1400" b="0" i="0" u="none" strike="noStrike" kern="1200" spc="100" baseline="0">
                <a:solidFill>
                  <a:schemeClr val="tx1"/>
                </a:solidFill>
                <a:latin typeface="+mn-lt"/>
                <a:ea typeface="+mn-ea"/>
                <a:cs typeface="+mn-cs"/>
              </a:defRPr>
            </a:pPr>
            <a:endParaRPr lang="en-US"/>
          </a:p>
        </c:txPr>
        <c:crossAx val="231824384"/>
        <c:crosses val="autoZero"/>
        <c:auto val="1"/>
        <c:lblAlgn val="ctr"/>
        <c:lblOffset val="100"/>
        <c:tickLblSkip val="1"/>
        <c:noMultiLvlLbl val="0"/>
      </c:catAx>
      <c:valAx>
        <c:axId val="231824384"/>
        <c:scaling>
          <c:orientation val="minMax"/>
        </c:scaling>
        <c:delete val="0"/>
        <c:axPos val="l"/>
        <c:title>
          <c:tx>
            <c:rich>
              <a:bodyPr rot="-5400000" spcFirstLastPara="1" vertOverflow="ellipsis" vert="horz" wrap="square" anchor="ctr" anchorCtr="1"/>
              <a:lstStyle/>
              <a:p>
                <a:pPr>
                  <a:defRPr sz="4800" b="1" i="0" u="none" strike="noStrike" kern="1200" baseline="0">
                    <a:ln w="3175">
                      <a:noFill/>
                    </a:ln>
                    <a:solidFill>
                      <a:schemeClr val="tx1">
                        <a:alpha val="45000"/>
                      </a:schemeClr>
                    </a:solidFill>
                    <a:latin typeface="+mn-lt"/>
                    <a:ea typeface="+mn-ea"/>
                    <a:cs typeface="+mn-cs"/>
                  </a:defRPr>
                </a:pPr>
                <a:r>
                  <a:rPr lang="en-US" sz="2800">
                    <a:ln w="3175">
                      <a:noFill/>
                    </a:ln>
                    <a:solidFill>
                      <a:srgbClr val="44688F"/>
                    </a:solidFill>
                  </a:rPr>
                  <a:t>Million tons of waste</a:t>
                </a:r>
              </a:p>
            </c:rich>
          </c:tx>
          <c:layout>
            <c:manualLayout>
              <c:xMode val="edge"/>
              <c:yMode val="edge"/>
              <c:x val="1.8886148003429398E-2"/>
              <c:y val="0.22813413368879212"/>
            </c:manualLayout>
          </c:layout>
          <c:overlay val="0"/>
          <c:spPr>
            <a:noFill/>
            <a:ln w="3175">
              <a:noFill/>
            </a:ln>
            <a:effectLst/>
          </c:spPr>
          <c:txPr>
            <a:bodyPr rot="-5400000" spcFirstLastPara="1" vertOverflow="ellipsis" vert="horz" wrap="square" anchor="ctr" anchorCtr="1"/>
            <a:lstStyle/>
            <a:p>
              <a:pPr>
                <a:defRPr sz="4800" b="1" i="0" u="none" strike="noStrike" kern="1200" baseline="0">
                  <a:ln w="3175">
                    <a:noFill/>
                  </a:ln>
                  <a:solidFill>
                    <a:schemeClr val="tx1">
                      <a:alpha val="4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alpha val="0"/>
                  </a:schemeClr>
                </a:solidFill>
                <a:latin typeface="+mn-lt"/>
                <a:ea typeface="+mn-ea"/>
                <a:cs typeface="+mn-cs"/>
              </a:defRPr>
            </a:pPr>
            <a:endParaRPr lang="en-US"/>
          </a:p>
        </c:txPr>
        <c:crossAx val="233741824"/>
        <c:crosses val="autoZero"/>
        <c:crossBetween val="between"/>
        <c:dispUnits>
          <c:builtInUnit val="millions"/>
        </c:dispUnits>
      </c:valAx>
      <c:valAx>
        <c:axId val="230307104"/>
        <c:scaling>
          <c:orientation val="minMax"/>
        </c:scaling>
        <c:delete val="0"/>
        <c:axPos val="r"/>
        <c:title>
          <c:tx>
            <c:rich>
              <a:bodyPr rot="5400000" spcFirstLastPara="1" vertOverflow="ellipsis" wrap="square" anchor="ctr" anchorCtr="1"/>
              <a:lstStyle/>
              <a:p>
                <a:pPr>
                  <a:defRPr sz="2800" b="1" i="0" u="none" strike="noStrike" kern="1200" baseline="0">
                    <a:ln w="3175">
                      <a:noFill/>
                    </a:ln>
                    <a:solidFill>
                      <a:schemeClr val="lt1"/>
                    </a:solidFill>
                    <a:latin typeface="+mn-lt"/>
                    <a:ea typeface="+mn-ea"/>
                    <a:cs typeface="+mn-cs"/>
                  </a:defRPr>
                </a:pPr>
                <a:r>
                  <a:rPr lang="en-US" sz="2800">
                    <a:ln w="3175">
                      <a:noFill/>
                    </a:ln>
                    <a:solidFill>
                      <a:schemeClr val="accent4"/>
                    </a:solidFill>
                  </a:rPr>
                  <a:t>Trash </a:t>
                </a:r>
                <a:r>
                  <a:rPr lang="en-US" sz="2800">
                    <a:ln w="3175">
                      <a:noFill/>
                    </a:ln>
                    <a:solidFill>
                      <a:sysClr val="windowText" lastClr="000000"/>
                    </a:solidFill>
                  </a:rPr>
                  <a:t>and</a:t>
                </a:r>
                <a:r>
                  <a:rPr lang="en-US" sz="2800">
                    <a:ln w="3175">
                      <a:noFill/>
                    </a:ln>
                  </a:rPr>
                  <a:t> </a:t>
                </a:r>
                <a:r>
                  <a:rPr lang="en-US" sz="2800">
                    <a:ln w="3175">
                      <a:noFill/>
                    </a:ln>
                    <a:solidFill>
                      <a:schemeClr val="accent3"/>
                    </a:solidFill>
                  </a:rPr>
                  <a:t>recycling</a:t>
                </a:r>
                <a:r>
                  <a:rPr lang="en-US" sz="2800">
                    <a:ln w="3175">
                      <a:noFill/>
                    </a:ln>
                  </a:rPr>
                  <a:t> </a:t>
                </a:r>
                <a:r>
                  <a:rPr lang="en-US" sz="2800">
                    <a:ln w="3175">
                      <a:noFill/>
                    </a:ln>
                    <a:solidFill>
                      <a:sysClr val="windowText" lastClr="000000"/>
                    </a:solidFill>
                  </a:rPr>
                  <a:t>lbs/person/day</a:t>
                </a:r>
              </a:p>
            </c:rich>
          </c:tx>
          <c:layout>
            <c:manualLayout>
              <c:xMode val="edge"/>
              <c:yMode val="edge"/>
              <c:x val="0.90120644432927843"/>
              <c:y val="0.30737826510344946"/>
            </c:manualLayout>
          </c:layout>
          <c:overlay val="0"/>
          <c:spPr>
            <a:noFill/>
            <a:ln>
              <a:noFill/>
            </a:ln>
            <a:effectLst/>
          </c:spPr>
          <c:txPr>
            <a:bodyPr rot="5400000" spcFirstLastPara="1" vertOverflow="ellipsis" wrap="square" anchor="ctr" anchorCtr="1"/>
            <a:lstStyle/>
            <a:p>
              <a:pPr>
                <a:defRPr sz="2800" b="1" i="0" u="none" strike="noStrike" kern="1200" baseline="0">
                  <a:ln w="3175">
                    <a:noFill/>
                  </a:ln>
                  <a:solidFill>
                    <a:schemeClr val="lt1"/>
                  </a:solidFill>
                  <a:latin typeface="+mn-lt"/>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alpha val="0"/>
                  </a:schemeClr>
                </a:solidFill>
                <a:latin typeface="+mn-lt"/>
                <a:ea typeface="+mn-ea"/>
                <a:cs typeface="+mn-cs"/>
              </a:defRPr>
            </a:pPr>
            <a:endParaRPr lang="en-US"/>
          </a:p>
        </c:txPr>
        <c:crossAx val="144729864"/>
        <c:crosses val="max"/>
        <c:crossBetween val="between"/>
      </c:valAx>
      <c:catAx>
        <c:axId val="144729864"/>
        <c:scaling>
          <c:orientation val="minMax"/>
        </c:scaling>
        <c:delete val="1"/>
        <c:axPos val="b"/>
        <c:numFmt formatCode="General" sourceLinked="1"/>
        <c:majorTickMark val="out"/>
        <c:minorTickMark val="none"/>
        <c:tickLblPos val="nextTo"/>
        <c:crossAx val="230307104"/>
        <c:crosses val="autoZero"/>
        <c:auto val="1"/>
        <c:lblAlgn val="ctr"/>
        <c:lblOffset val="100"/>
        <c:noMultiLvlLbl val="0"/>
      </c:catAx>
      <c:spPr>
        <a:noFill/>
        <a:ln>
          <a:noFill/>
        </a:ln>
        <a:effectLst/>
      </c:spPr>
    </c:plotArea>
    <c:plotVisOnly val="1"/>
    <c:dispBlanksAs val="gap"/>
    <c:showDLblsOverMax val="0"/>
  </c:chart>
  <c:spPr>
    <a:solidFill>
      <a:srgbClr val="D9D9D9">
        <a:alpha val="50000"/>
      </a:srgbClr>
    </a:solidFill>
    <a:ln w="9525" cap="flat" cmpd="sng" algn="ctr">
      <a:solidFill>
        <a:schemeClr val="bg1">
          <a:lumMod val="6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500" b="1" i="0" u="none" strike="noStrike" kern="1200" cap="all" spc="100" normalizeH="0" baseline="0">
                <a:solidFill>
                  <a:schemeClr val="tx1"/>
                </a:solidFill>
                <a:latin typeface="+mn-lt"/>
                <a:ea typeface="+mn-ea"/>
                <a:cs typeface="+mn-cs"/>
              </a:defRPr>
            </a:pPr>
            <a:r>
              <a:rPr lang="en-US">
                <a:solidFill>
                  <a:schemeClr val="tx1"/>
                </a:solidFill>
                <a:latin typeface="Arial" panose="020B0604020202020204" pitchFamily="34" charset="0"/>
                <a:cs typeface="Arial" panose="020B0604020202020204" pitchFamily="34" charset="0"/>
              </a:rPr>
              <a:t>Waste Generation in Washington (per capita) </a:t>
            </a:r>
          </a:p>
        </c:rich>
      </c:tx>
      <c:layout>
        <c:manualLayout>
          <c:xMode val="edge"/>
          <c:yMode val="edge"/>
          <c:x val="3.5110118097669965E-2"/>
          <c:y val="2.1135018379112861E-2"/>
        </c:manualLayout>
      </c:layout>
      <c:overlay val="0"/>
      <c:spPr>
        <a:noFill/>
        <a:ln>
          <a:noFill/>
        </a:ln>
        <a:effectLst/>
      </c:spPr>
      <c:txPr>
        <a:bodyPr rot="0" spcFirstLastPara="1" vertOverflow="ellipsis" vert="horz" wrap="square" anchor="ctr" anchorCtr="1"/>
        <a:lstStyle/>
        <a:p>
          <a:pPr>
            <a:defRPr sz="1500" b="1" i="0" u="none" strike="noStrike" kern="1200" cap="all" spc="100" normalizeH="0" baseline="0">
              <a:solidFill>
                <a:schemeClr val="tx1"/>
              </a:solidFill>
              <a:latin typeface="+mn-lt"/>
              <a:ea typeface="+mn-ea"/>
              <a:cs typeface="+mn-cs"/>
            </a:defRPr>
          </a:pPr>
          <a:endParaRPr lang="en-US"/>
        </a:p>
      </c:txPr>
    </c:title>
    <c:autoTitleDeleted val="0"/>
    <c:plotArea>
      <c:layout>
        <c:manualLayout>
          <c:layoutTarget val="inner"/>
          <c:xMode val="edge"/>
          <c:yMode val="edge"/>
          <c:x val="5.7235423697037872E-2"/>
          <c:y val="8.098288413249044E-2"/>
          <c:w val="0.83027666809138589"/>
          <c:h val="0.80942869170248188"/>
        </c:manualLayout>
      </c:layout>
      <c:areaChart>
        <c:grouping val="stacked"/>
        <c:varyColors val="0"/>
        <c:ser>
          <c:idx val="2"/>
          <c:order val="2"/>
          <c:tx>
            <c:strRef>
              <c:f>'2-Charts'!$B$7</c:f>
              <c:strCache>
                <c:ptCount val="1"/>
                <c:pt idx="0">
                  <c:v>Materials Collected for Recovery (lbs/person/day)</c:v>
                </c:pt>
              </c:strCache>
            </c:strRef>
          </c:tx>
          <c:spPr>
            <a:solidFill>
              <a:srgbClr val="7AA456">
                <a:alpha val="56000"/>
              </a:srgbClr>
            </a:solidFill>
            <a:ln>
              <a:noFill/>
            </a:ln>
            <a:effectLst/>
          </c:spPr>
          <c:dLbls>
            <c:spPr>
              <a:solidFill>
                <a:schemeClr val="accent3"/>
              </a:solidFill>
              <a:ln>
                <a:solidFill>
                  <a:schemeClr val="tx1"/>
                </a:solid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'2-Charts'!$C$4:$Y$4</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2021</c:v>
                </c:pt>
                <c:pt idx="20">
                  <c:v>2022</c:v>
                </c:pt>
              </c:numCache>
            </c:numRef>
          </c:cat>
          <c:val>
            <c:numRef>
              <c:f>'2-Charts'!$C$7:$Y$7</c:f>
              <c:numCache>
                <c:formatCode>0.0</c:formatCode>
                <c:ptCount val="21"/>
                <c:pt idx="0">
                  <c:v>3.6111656317359428</c:v>
                </c:pt>
                <c:pt idx="1">
                  <c:v>3.9122362677591362</c:v>
                </c:pt>
                <c:pt idx="2">
                  <c:v>4.3727297192445187</c:v>
                </c:pt>
                <c:pt idx="3">
                  <c:v>4.6488097800627743</c:v>
                </c:pt>
                <c:pt idx="4">
                  <c:v>5.4948007959598932</c:v>
                </c:pt>
                <c:pt idx="5">
                  <c:v>6.1391865817783229</c:v>
                </c:pt>
                <c:pt idx="6">
                  <c:v>6.5456582931247818</c:v>
                </c:pt>
                <c:pt idx="7">
                  <c:v>6.1123756271240399</c:v>
                </c:pt>
                <c:pt idx="8">
                  <c:v>5.6352850064572051</c:v>
                </c:pt>
                <c:pt idx="9">
                  <c:v>6.0968645295364343</c:v>
                </c:pt>
                <c:pt idx="10">
                  <c:v>6.7014000587747091</c:v>
                </c:pt>
                <c:pt idx="11">
                  <c:v>6.6729169182403565</c:v>
                </c:pt>
                <c:pt idx="12">
                  <c:v>6.302720352400609</c:v>
                </c:pt>
                <c:pt idx="13">
                  <c:v>6.2137806897562013</c:v>
                </c:pt>
                <c:pt idx="14">
                  <c:v>5.991103964381626</c:v>
                </c:pt>
                <c:pt idx="15">
                  <c:v>5.8367581098279562</c:v>
                </c:pt>
                <c:pt idx="16">
                  <c:v>6.1366441792062565</c:v>
                </c:pt>
                <c:pt idx="17">
                  <c:v>6.2414046660434979</c:v>
                </c:pt>
                <c:pt idx="18">
                  <c:v>6.4009757942793453</c:v>
                </c:pt>
                <c:pt idx="19">
                  <c:v>6.1426831852184662</c:v>
                </c:pt>
                <c:pt idx="20">
                  <c:v>5.3905204138456631</c:v>
                </c:pt>
              </c:numCache>
            </c:numRef>
          </c:val>
          <c:extLst>
            <c:ext xmlns:c16="http://schemas.microsoft.com/office/drawing/2014/chart" uri="{C3380CC4-5D6E-409C-BE32-E72D297353CC}">
              <c16:uniqueId val="{00000000-CD4B-4D87-A5A8-46C4DC933E30}"/>
            </c:ext>
          </c:extLst>
        </c:ser>
        <c:ser>
          <c:idx val="3"/>
          <c:order val="3"/>
          <c:tx>
            <c:strRef>
              <c:f>'2-Charts'!$B$8</c:f>
              <c:strCache>
                <c:ptCount val="1"/>
                <c:pt idx="0">
                  <c:v>Solid Waste Disposed "Trash" (lbs/person/day)</c:v>
                </c:pt>
              </c:strCache>
            </c:strRef>
          </c:tx>
          <c:spPr>
            <a:solidFill>
              <a:schemeClr val="accent4">
                <a:alpha val="55000"/>
              </a:schemeClr>
            </a:solidFill>
            <a:ln cap="flat">
              <a:solidFill>
                <a:schemeClr val="bg2">
                  <a:lumMod val="50000"/>
                </a:schemeClr>
              </a:solidFill>
              <a:bevel/>
            </a:ln>
            <a:effectLst/>
          </c:spPr>
          <c:dLbls>
            <c:spPr>
              <a:solidFill>
                <a:schemeClr val="accent4"/>
              </a:solidFill>
              <a:ln>
                <a:solidFill>
                  <a:schemeClr val="tx1"/>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'2-Charts'!$C$4:$Y$4</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2021</c:v>
                </c:pt>
                <c:pt idx="20">
                  <c:v>2022</c:v>
                </c:pt>
              </c:numCache>
            </c:numRef>
          </c:cat>
          <c:val>
            <c:numRef>
              <c:f>'2-Charts'!$C$8:$Y$8</c:f>
              <c:numCache>
                <c:formatCode>0.0</c:formatCode>
                <c:ptCount val="21"/>
                <c:pt idx="0">
                  <c:v>6.1143607666676507</c:v>
                </c:pt>
                <c:pt idx="1">
                  <c:v>5.7431699556323714</c:v>
                </c:pt>
                <c:pt idx="2">
                  <c:v>5.501675685931037</c:v>
                </c:pt>
                <c:pt idx="3">
                  <c:v>5.4751011660446691</c:v>
                </c:pt>
                <c:pt idx="4">
                  <c:v>5.7597159557070512</c:v>
                </c:pt>
                <c:pt idx="5">
                  <c:v>6.6952763045657546</c:v>
                </c:pt>
                <c:pt idx="6">
                  <c:v>6.6235217126240116</c:v>
                </c:pt>
                <c:pt idx="7">
                  <c:v>6.7870811939575155</c:v>
                </c:pt>
                <c:pt idx="8">
                  <c:v>6.2329120066111301</c:v>
                </c:pt>
                <c:pt idx="9">
                  <c:v>5.0313870487172965</c:v>
                </c:pt>
                <c:pt idx="10">
                  <c:v>5.7389866227443944</c:v>
                </c:pt>
                <c:pt idx="11">
                  <c:v>5.1133023072048207</c:v>
                </c:pt>
                <c:pt idx="12">
                  <c:v>5.7348360703086909</c:v>
                </c:pt>
                <c:pt idx="13">
                  <c:v>5.9867133159984025</c:v>
                </c:pt>
                <c:pt idx="14">
                  <c:v>6.4063271815573284</c:v>
                </c:pt>
                <c:pt idx="15">
                  <c:v>6.5731391183021328</c:v>
                </c:pt>
                <c:pt idx="16">
                  <c:v>6.7651962004545689</c:v>
                </c:pt>
                <c:pt idx="17">
                  <c:v>6.6161598082945083</c:v>
                </c:pt>
                <c:pt idx="18">
                  <c:v>6.7745098809118423</c:v>
                </c:pt>
                <c:pt idx="19">
                  <c:v>6.3658081107602635</c:v>
                </c:pt>
                <c:pt idx="20">
                  <c:v>7.2946745933869401</c:v>
                </c:pt>
              </c:numCache>
            </c:numRef>
          </c:val>
          <c:extLst>
            <c:ext xmlns:c16="http://schemas.microsoft.com/office/drawing/2014/chart" uri="{C3380CC4-5D6E-409C-BE32-E72D297353CC}">
              <c16:uniqueId val="{00000001-CD4B-4D87-A5A8-46C4DC933E30}"/>
            </c:ext>
          </c:extLst>
        </c:ser>
        <c:dLbls>
          <c:showLegendKey val="0"/>
          <c:showVal val="0"/>
          <c:showCatName val="0"/>
          <c:showSerName val="0"/>
          <c:showPercent val="0"/>
          <c:showBubbleSize val="0"/>
        </c:dLbls>
        <c:axId val="144729864"/>
        <c:axId val="230307104"/>
      </c:areaChart>
      <c:lineChart>
        <c:grouping val="standard"/>
        <c:varyColors val="0"/>
        <c:ser>
          <c:idx val="4"/>
          <c:order val="4"/>
          <c:tx>
            <c:strRef>
              <c:f>'2-Charts'!$B$9</c:f>
              <c:strCache>
                <c:ptCount val="1"/>
                <c:pt idx="0">
                  <c:v>Solid Waste Generated (recoverable portion - lbs/person/day)</c:v>
                </c:pt>
              </c:strCache>
            </c:strRef>
          </c:tx>
          <c:spPr>
            <a:ln w="34925" cap="rnd">
              <a:noFill/>
              <a:round/>
            </a:ln>
            <a:effectLst>
              <a:outerShdw dist="25400" dir="2700000" algn="tl" rotWithShape="0">
                <a:schemeClr val="accent4">
                  <a:tint val="54000"/>
                </a:schemeClr>
              </a:outerShdw>
            </a:effectLst>
          </c:spPr>
          <c:marker>
            <c:symbol val="none"/>
          </c:marker>
          <c:dLbls>
            <c:spPr>
              <a:noFill/>
              <a:ln w="22225">
                <a:solidFill>
                  <a:schemeClr val="tx1">
                    <a:lumMod val="65000"/>
                    <a:lumOff val="35000"/>
                  </a:schemeClr>
                </a:solidFill>
              </a:ln>
              <a:effectLst/>
            </c:spPr>
            <c:txPr>
              <a:bodyPr rot="0" spcFirstLastPara="1" vertOverflow="clip" horzOverflow="clip" vert="horz" wrap="square" lIns="36576" tIns="18288" rIns="36576" bIns="18288" anchor="ctr" anchorCtr="1">
                <a:spAutoFit/>
              </a:bodyPr>
              <a:lstStyle/>
              <a:p>
                <a:pPr>
                  <a:defRPr sz="1200" b="1"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accent4">
                          <a:lumMod val="60000"/>
                          <a:lumOff val="40000"/>
                        </a:schemeClr>
                      </a:solidFill>
                    </a:ln>
                    <a:effectLst/>
                  </c:spPr>
                </c15:leaderLines>
              </c:ext>
            </c:extLst>
          </c:dLbls>
          <c:cat>
            <c:numRef>
              <c:f>'2-Charts'!$C$4:$Y$4</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2021</c:v>
                </c:pt>
                <c:pt idx="20">
                  <c:v>2022</c:v>
                </c:pt>
              </c:numCache>
            </c:numRef>
          </c:cat>
          <c:val>
            <c:numRef>
              <c:f>'2-Charts'!$C$9:$Y$9</c:f>
              <c:numCache>
                <c:formatCode>0.0</c:formatCode>
                <c:ptCount val="21"/>
                <c:pt idx="0">
                  <c:v>9.7255263984035931</c:v>
                </c:pt>
                <c:pt idx="1">
                  <c:v>9.6554062233915072</c:v>
                </c:pt>
                <c:pt idx="2">
                  <c:v>9.8744054051755548</c:v>
                </c:pt>
                <c:pt idx="3">
                  <c:v>10.123910946107443</c:v>
                </c:pt>
                <c:pt idx="4">
                  <c:v>11.254516751666944</c:v>
                </c:pt>
                <c:pt idx="5">
                  <c:v>12.834462886344078</c:v>
                </c:pt>
                <c:pt idx="6">
                  <c:v>13.169180005748792</c:v>
                </c:pt>
                <c:pt idx="7">
                  <c:v>12.899456821081555</c:v>
                </c:pt>
                <c:pt idx="8">
                  <c:v>11.868197013068336</c:v>
                </c:pt>
                <c:pt idx="9">
                  <c:v>11.128251578253732</c:v>
                </c:pt>
                <c:pt idx="10">
                  <c:v>12.440386681519104</c:v>
                </c:pt>
                <c:pt idx="11">
                  <c:v>11.786219225445176</c:v>
                </c:pt>
                <c:pt idx="12">
                  <c:v>12.037556422709301</c:v>
                </c:pt>
                <c:pt idx="13">
                  <c:v>12.200494005754603</c:v>
                </c:pt>
                <c:pt idx="14">
                  <c:v>12.397431145938954</c:v>
                </c:pt>
                <c:pt idx="15">
                  <c:v>12.409897228130088</c:v>
                </c:pt>
                <c:pt idx="16">
                  <c:v>12.901840379660825</c:v>
                </c:pt>
                <c:pt idx="17">
                  <c:v>12.857564474338005</c:v>
                </c:pt>
                <c:pt idx="18">
                  <c:v>13.175485675191187</c:v>
                </c:pt>
                <c:pt idx="19">
                  <c:v>12.508491295978729</c:v>
                </c:pt>
                <c:pt idx="20">
                  <c:v>12.685195007232604</c:v>
                </c:pt>
              </c:numCache>
            </c:numRef>
          </c:val>
          <c:smooth val="0"/>
          <c:extLst>
            <c:ext xmlns:c16="http://schemas.microsoft.com/office/drawing/2014/chart" uri="{C3380CC4-5D6E-409C-BE32-E72D297353CC}">
              <c16:uniqueId val="{00000000-DE85-4215-8E53-F5486679CF03}"/>
            </c:ext>
          </c:extLst>
        </c:ser>
        <c:dLbls>
          <c:showLegendKey val="0"/>
          <c:showVal val="1"/>
          <c:showCatName val="0"/>
          <c:showSerName val="0"/>
          <c:showPercent val="0"/>
          <c:showBubbleSize val="0"/>
        </c:dLbls>
        <c:marker val="1"/>
        <c:smooth val="0"/>
        <c:axId val="233741824"/>
        <c:axId val="231824384"/>
        <c:extLst>
          <c:ext xmlns:c15="http://schemas.microsoft.com/office/drawing/2012/chart" uri="{02D57815-91ED-43cb-92C2-25804820EDAC}">
            <c15:filteredLineSeries>
              <c15:ser>
                <c:idx val="0"/>
                <c:order val="0"/>
                <c:tx>
                  <c:strRef>
                    <c:extLst>
                      <c:ext uri="{02D57815-91ED-43cb-92C2-25804820EDAC}">
                        <c15:formulaRef>
                          <c15:sqref>'2-Charts'!$B$5</c15:sqref>
                        </c15:formulaRef>
                      </c:ext>
                    </c:extLst>
                    <c:strCache>
                      <c:ptCount val="1"/>
                      <c:pt idx="0">
                        <c:v>Solid Waste Generated (recoverable portion)</c:v>
                      </c:pt>
                    </c:strCache>
                  </c:strRef>
                </c:tx>
                <c:spPr>
                  <a:ln w="34925" cap="rnd">
                    <a:solidFill>
                      <a:srgbClr val="44688F"/>
                    </a:solidFill>
                    <a:prstDash val="solid"/>
                    <a:round/>
                  </a:ln>
                  <a:effectLst>
                    <a:outerShdw dist="25400" dir="2700000" algn="tl" rotWithShape="0">
                      <a:schemeClr val="accent4">
                        <a:shade val="58000"/>
                      </a:schemeClr>
                    </a:outerShdw>
                  </a:effectLst>
                </c:spPr>
                <c:marker>
                  <c:symbol val="none"/>
                </c:marker>
                <c:dLbls>
                  <c:dLbl>
                    <c:idx val="0"/>
                    <c:layout>
                      <c:manualLayout>
                        <c:x val="-1.4271464212068298E-2"/>
                        <c:y val="-8.5292300547739661E-2"/>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2-CD4B-4D87-A5A8-46C4DC933E30}"/>
                      </c:ext>
                    </c:extLst>
                  </c:dLbl>
                  <c:dLbl>
                    <c:idx val="1"/>
                    <c:delete val="1"/>
                    <c:extLst>
                      <c:ext uri="{CE6537A1-D6FC-4f65-9D91-7224C49458BB}"/>
                      <c:ext xmlns:c16="http://schemas.microsoft.com/office/drawing/2014/chart" uri="{C3380CC4-5D6E-409C-BE32-E72D297353CC}">
                        <c16:uniqueId val="{00000003-CD4B-4D87-A5A8-46C4DC933E30}"/>
                      </c:ext>
                    </c:extLst>
                  </c:dLbl>
                  <c:dLbl>
                    <c:idx val="2"/>
                    <c:delete val="1"/>
                    <c:extLst>
                      <c:ext uri="{CE6537A1-D6FC-4f65-9D91-7224C49458BB}"/>
                      <c:ext xmlns:c16="http://schemas.microsoft.com/office/drawing/2014/chart" uri="{C3380CC4-5D6E-409C-BE32-E72D297353CC}">
                        <c16:uniqueId val="{00000004-CD4B-4D87-A5A8-46C4DC933E30}"/>
                      </c:ext>
                    </c:extLst>
                  </c:dLbl>
                  <c:dLbl>
                    <c:idx val="3"/>
                    <c:delete val="1"/>
                    <c:extLst>
                      <c:ext uri="{CE6537A1-D6FC-4f65-9D91-7224C49458BB}"/>
                      <c:ext xmlns:c16="http://schemas.microsoft.com/office/drawing/2014/chart" uri="{C3380CC4-5D6E-409C-BE32-E72D297353CC}">
                        <c16:uniqueId val="{00000005-CD4B-4D87-A5A8-46C4DC933E30}"/>
                      </c:ext>
                    </c:extLst>
                  </c:dLbl>
                  <c:dLbl>
                    <c:idx val="4"/>
                    <c:delete val="1"/>
                    <c:extLst>
                      <c:ext uri="{CE6537A1-D6FC-4f65-9D91-7224C49458BB}"/>
                      <c:ext xmlns:c16="http://schemas.microsoft.com/office/drawing/2014/chart" uri="{C3380CC4-5D6E-409C-BE32-E72D297353CC}">
                        <c16:uniqueId val="{00000006-CD4B-4D87-A5A8-46C4DC933E30}"/>
                      </c:ext>
                    </c:extLst>
                  </c:dLbl>
                  <c:dLbl>
                    <c:idx val="5"/>
                    <c:delete val="1"/>
                    <c:extLst>
                      <c:ext uri="{CE6537A1-D6FC-4f65-9D91-7224C49458BB}"/>
                      <c:ext xmlns:c16="http://schemas.microsoft.com/office/drawing/2014/chart" uri="{C3380CC4-5D6E-409C-BE32-E72D297353CC}">
                        <c16:uniqueId val="{00000007-CD4B-4D87-A5A8-46C4DC933E30}"/>
                      </c:ext>
                    </c:extLst>
                  </c:dLbl>
                  <c:dLbl>
                    <c:idx val="6"/>
                    <c:layout>
                      <c:manualLayout>
                        <c:x val="-2.3691374934275054E-2"/>
                        <c:y val="-6.4802444718106936E-2"/>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8-CD4B-4D87-A5A8-46C4DC933E30}"/>
                      </c:ext>
                    </c:extLst>
                  </c:dLbl>
                  <c:dLbl>
                    <c:idx val="7"/>
                    <c:delete val="1"/>
                    <c:extLst>
                      <c:ext uri="{CE6537A1-D6FC-4f65-9D91-7224C49458BB}"/>
                      <c:ext xmlns:c16="http://schemas.microsoft.com/office/drawing/2014/chart" uri="{C3380CC4-5D6E-409C-BE32-E72D297353CC}">
                        <c16:uniqueId val="{00000009-CD4B-4D87-A5A8-46C4DC933E30}"/>
                      </c:ext>
                    </c:extLst>
                  </c:dLbl>
                  <c:dLbl>
                    <c:idx val="8"/>
                    <c:delete val="1"/>
                    <c:extLst>
                      <c:ext uri="{CE6537A1-D6FC-4f65-9D91-7224C49458BB}"/>
                      <c:ext xmlns:c16="http://schemas.microsoft.com/office/drawing/2014/chart" uri="{C3380CC4-5D6E-409C-BE32-E72D297353CC}">
                        <c16:uniqueId val="{0000000A-CD4B-4D87-A5A8-46C4DC933E30}"/>
                      </c:ext>
                    </c:extLst>
                  </c:dLbl>
                  <c:dLbl>
                    <c:idx val="9"/>
                    <c:delete val="1"/>
                    <c:extLst>
                      <c:ext uri="{CE6537A1-D6FC-4f65-9D91-7224C49458BB}"/>
                      <c:ext xmlns:c16="http://schemas.microsoft.com/office/drawing/2014/chart" uri="{C3380CC4-5D6E-409C-BE32-E72D297353CC}">
                        <c16:uniqueId val="{0000000B-CD4B-4D87-A5A8-46C4DC933E30}"/>
                      </c:ext>
                    </c:extLst>
                  </c:dLbl>
                  <c:dLbl>
                    <c:idx val="10"/>
                    <c:delete val="1"/>
                    <c:extLst>
                      <c:ext uri="{CE6537A1-D6FC-4f65-9D91-7224C49458BB}"/>
                      <c:ext xmlns:c16="http://schemas.microsoft.com/office/drawing/2014/chart" uri="{C3380CC4-5D6E-409C-BE32-E72D297353CC}">
                        <c16:uniqueId val="{0000000C-CD4B-4D87-A5A8-46C4DC933E30}"/>
                      </c:ext>
                    </c:extLst>
                  </c:dLbl>
                  <c:dLbl>
                    <c:idx val="11"/>
                    <c:delete val="1"/>
                    <c:extLst>
                      <c:ext uri="{CE6537A1-D6FC-4f65-9D91-7224C49458BB}"/>
                      <c:ext xmlns:c16="http://schemas.microsoft.com/office/drawing/2014/chart" uri="{C3380CC4-5D6E-409C-BE32-E72D297353CC}">
                        <c16:uniqueId val="{0000000D-CD4B-4D87-A5A8-46C4DC933E30}"/>
                      </c:ext>
                    </c:extLst>
                  </c:dLbl>
                  <c:dLbl>
                    <c:idx val="12"/>
                    <c:delete val="1"/>
                    <c:extLst>
                      <c:ext uri="{CE6537A1-D6FC-4f65-9D91-7224C49458BB}"/>
                      <c:ext xmlns:c16="http://schemas.microsoft.com/office/drawing/2014/chart" uri="{C3380CC4-5D6E-409C-BE32-E72D297353CC}">
                        <c16:uniqueId val="{0000000E-CD4B-4D87-A5A8-46C4DC933E30}"/>
                      </c:ext>
                    </c:extLst>
                  </c:dLbl>
                  <c:dLbl>
                    <c:idx val="13"/>
                    <c:delete val="1"/>
                    <c:extLst>
                      <c:ext uri="{CE6537A1-D6FC-4f65-9D91-7224C49458BB}"/>
                      <c:ext xmlns:c16="http://schemas.microsoft.com/office/drawing/2014/chart" uri="{C3380CC4-5D6E-409C-BE32-E72D297353CC}">
                        <c16:uniqueId val="{0000000F-CD4B-4D87-A5A8-46C4DC933E30}"/>
                      </c:ext>
                    </c:extLst>
                  </c:dLbl>
                  <c:dLbl>
                    <c:idx val="14"/>
                    <c:delete val="1"/>
                    <c:extLst>
                      <c:ext uri="{CE6537A1-D6FC-4f65-9D91-7224C49458BB}"/>
                      <c:ext xmlns:c16="http://schemas.microsoft.com/office/drawing/2014/chart" uri="{C3380CC4-5D6E-409C-BE32-E72D297353CC}">
                        <c16:uniqueId val="{00000010-CD4B-4D87-A5A8-46C4DC933E30}"/>
                      </c:ext>
                    </c:extLst>
                  </c:dLbl>
                  <c:dLbl>
                    <c:idx val="15"/>
                    <c:delete val="1"/>
                    <c:extLst>
                      <c:ext uri="{CE6537A1-D6FC-4f65-9D91-7224C49458BB}"/>
                      <c:ext xmlns:c16="http://schemas.microsoft.com/office/drawing/2014/chart" uri="{C3380CC4-5D6E-409C-BE32-E72D297353CC}">
                        <c16:uniqueId val="{00000011-CD4B-4D87-A5A8-46C4DC933E30}"/>
                      </c:ext>
                    </c:extLst>
                  </c:dLbl>
                  <c:dLbl>
                    <c:idx val="16"/>
                    <c:delete val="1"/>
                    <c:extLst>
                      <c:ext uri="{CE6537A1-D6FC-4f65-9D91-7224C49458BB}"/>
                      <c:ext xmlns:c16="http://schemas.microsoft.com/office/drawing/2014/chart" uri="{C3380CC4-5D6E-409C-BE32-E72D297353CC}">
                        <c16:uniqueId val="{00000012-CD4B-4D87-A5A8-46C4DC933E30}"/>
                      </c:ext>
                    </c:extLst>
                  </c:dLbl>
                  <c:dLbl>
                    <c:idx val="17"/>
                    <c:layout>
                      <c:manualLayout>
                        <c:x val="-2.3285708412581981E-2"/>
                        <c:y val="-3.7419611648070068E-2"/>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13-CD4B-4D87-A5A8-46C4DC933E30}"/>
                      </c:ext>
                    </c:extLst>
                  </c:dLbl>
                  <c:numFmt formatCode="#,##0.0" sourceLinked="0"/>
                  <c:spPr>
                    <a:solidFill>
                      <a:srgbClr val="44688F"/>
                    </a:solidFill>
                    <a:ln>
                      <a:solidFill>
                        <a:schemeClr val="accent4">
                          <a:shade val="58000"/>
                        </a:schemeClr>
                      </a:solidFill>
                    </a:ln>
                    <a:effectLst/>
                  </c:spPr>
                  <c:txPr>
                    <a:bodyPr rot="0" spcFirstLastPara="1" vertOverflow="clip" horzOverflow="clip" vert="horz" wrap="square" lIns="36576" tIns="18288" rIns="36576" bIns="18288" anchor="ctr" anchorCtr="1">
                      <a:spAutoFit/>
                    </a:bodyPr>
                    <a:lstStyle/>
                    <a:p>
                      <a:pPr>
                        <a:defRPr sz="1400" b="1" i="0" u="none" strike="noStrike" kern="1200" baseline="0">
                          <a:solidFill>
                            <a:schemeClr val="bg1"/>
                          </a:solidFill>
                          <a:latin typeface="+mn-lt"/>
                          <a:ea typeface="+mn-ea"/>
                          <a:cs typeface="+mn-cs"/>
                        </a:defRPr>
                      </a:pPr>
                      <a:endParaRPr lang="en-US"/>
                    </a:p>
                  </c:txPr>
                  <c:dLblPos val="t"/>
                  <c:showLegendKey val="0"/>
                  <c:showVal val="1"/>
                  <c:showCatName val="0"/>
                  <c:showSerName val="0"/>
                  <c:showPercent val="0"/>
                  <c:showBubbleSize val="0"/>
                  <c:showLeaderLines val="0"/>
                  <c:extLst>
                    <c:ext uri="{CE6537A1-D6FC-4f65-9D91-7224C49458BB}">
                      <c15:spPr xmlns:c15="http://schemas.microsoft.com/office/drawing/2012/chart">
                        <a:prstGeom prst="roundRect">
                          <a:avLst/>
                        </a:prstGeom>
                        <a:noFill/>
                        <a:ln>
                          <a:noFill/>
                        </a:ln>
                      </c15:spPr>
                      <c15:showLeaderLines val="0"/>
                    </c:ext>
                  </c:extLst>
                </c:dLbls>
                <c:cat>
                  <c:numRef>
                    <c:extLst>
                      <c:ext uri="{02D57815-91ED-43cb-92C2-25804820EDAC}">
                        <c15:formulaRef>
                          <c15:sqref>'2-Charts'!$C$4:$Y$4</c15:sqref>
                        </c15:formulaRef>
                      </c:ext>
                    </c:extLst>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2021</c:v>
                      </c:pt>
                      <c:pt idx="20">
                        <c:v>2022</c:v>
                      </c:pt>
                    </c:numCache>
                  </c:numRef>
                </c:cat>
                <c:val>
                  <c:numRef>
                    <c:extLst>
                      <c:ext uri="{02D57815-91ED-43cb-92C2-25804820EDAC}">
                        <c15:formulaRef>
                          <c15:sqref>'2-Charts'!$C$5:$T$5</c15:sqref>
                        </c15:formulaRef>
                      </c:ext>
                    </c:extLst>
                    <c:numCache>
                      <c:formatCode>_(* #,##0_);_(* \(#,##0\);_(* "-"??_);_(@_)</c:formatCode>
                      <c:ptCount val="18"/>
                      <c:pt idx="0">
                        <c:v>10461564.91</c:v>
                      </c:pt>
                      <c:pt idx="1">
                        <c:v>10520602.940000001</c:v>
                      </c:pt>
                      <c:pt idx="2">
                        <c:v>10920054.43</c:v>
                      </c:pt>
                      <c:pt idx="3">
                        <c:v>11320176.079999998</c:v>
                      </c:pt>
                      <c:pt idx="4">
                        <c:v>12752010</c:v>
                      </c:pt>
                      <c:pt idx="5">
                        <c:v>14753605.929333564</c:v>
                      </c:pt>
                      <c:pt idx="6">
                        <c:v>15430196.092937453</c:v>
                      </c:pt>
                      <c:pt idx="7">
                        <c:v>15361119.278009433</c:v>
                      </c:pt>
                      <c:pt idx="8">
                        <c:v>14313077.701233331</c:v>
                      </c:pt>
                      <c:pt idx="9">
                        <c:v>13550738.379999999</c:v>
                      </c:pt>
                      <c:pt idx="10">
                        <c:v>15267197.708600001</c:v>
                      </c:pt>
                      <c:pt idx="11">
                        <c:v>14557651.440000001</c:v>
                      </c:pt>
                      <c:pt idx="12">
                        <c:v>14977645.616999999</c:v>
                      </c:pt>
                      <c:pt idx="13">
                        <c:v>15324284.09</c:v>
                      </c:pt>
                      <c:pt idx="14">
                        <c:v>15765701.921346031</c:v>
                      </c:pt>
                      <c:pt idx="15">
                        <c:v>15992725.460388441</c:v>
                      </c:pt>
                      <c:pt idx="16">
                        <c:v>16914638.509204928</c:v>
                      </c:pt>
                      <c:pt idx="17">
                        <c:v>17153659.277757447</c:v>
                      </c:pt>
                    </c:numCache>
                  </c:numRef>
                </c:val>
                <c:smooth val="0"/>
                <c:extLst>
                  <c:ext xmlns:c16="http://schemas.microsoft.com/office/drawing/2014/chart" uri="{C3380CC4-5D6E-409C-BE32-E72D297353CC}">
                    <c16:uniqueId val="{00000014-CD4B-4D87-A5A8-46C4DC933E30}"/>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'2-Charts'!$B$6</c15:sqref>
                        </c15:formulaRef>
                      </c:ext>
                    </c:extLst>
                    <c:strCache>
                      <c:ptCount val="1"/>
                      <c:pt idx="0">
                        <c:v>Population</c:v>
                      </c:pt>
                    </c:strCache>
                  </c:strRef>
                </c:tx>
                <c:spPr>
                  <a:ln w="34925" cap="rnd" cmpd="sng">
                    <a:solidFill>
                      <a:srgbClr val="FFD76D"/>
                    </a:solidFill>
                    <a:prstDash val="lgDash"/>
                    <a:round/>
                    <a:headEnd type="none"/>
                  </a:ln>
                  <a:effectLst>
                    <a:outerShdw dist="25400" dir="2700000" algn="tl" rotWithShape="0">
                      <a:schemeClr val="accent4">
                        <a:shade val="86000"/>
                      </a:schemeClr>
                    </a:outerShdw>
                  </a:effectLst>
                </c:spPr>
                <c:marker>
                  <c:symbol val="none"/>
                </c:marker>
                <c:dLbls>
                  <c:dLbl>
                    <c:idx val="0"/>
                    <c:layout>
                      <c:manualLayout>
                        <c:x val="-3.6273701566364384E-2"/>
                        <c:y val="4.2127435492363627E-3"/>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5-CD4B-4D87-A5A8-46C4DC933E30}"/>
                      </c:ext>
                    </c:extLst>
                  </c:dLbl>
                  <c:dLbl>
                    <c:idx val="1"/>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16-CD4B-4D87-A5A8-46C4DC933E30}"/>
                      </c:ext>
                    </c:extLst>
                  </c:dLbl>
                  <c:dLbl>
                    <c:idx val="2"/>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17-CD4B-4D87-A5A8-46C4DC933E30}"/>
                      </c:ext>
                    </c:extLst>
                  </c:dLbl>
                  <c:dLbl>
                    <c:idx val="3"/>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18-CD4B-4D87-A5A8-46C4DC933E30}"/>
                      </c:ext>
                    </c:extLst>
                  </c:dLbl>
                  <c:dLbl>
                    <c:idx val="4"/>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19-CD4B-4D87-A5A8-46C4DC933E30}"/>
                      </c:ext>
                    </c:extLst>
                  </c:dLbl>
                  <c:dLbl>
                    <c:idx val="5"/>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1A-CD4B-4D87-A5A8-46C4DC933E30}"/>
                      </c:ext>
                    </c:extLst>
                  </c:dLbl>
                  <c:dLbl>
                    <c:idx val="6"/>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1B-CD4B-4D87-A5A8-46C4DC933E30}"/>
                      </c:ext>
                    </c:extLst>
                  </c:dLbl>
                  <c:dLbl>
                    <c:idx val="7"/>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1C-CD4B-4D87-A5A8-46C4DC933E30}"/>
                      </c:ext>
                    </c:extLst>
                  </c:dLbl>
                  <c:dLbl>
                    <c:idx val="8"/>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1D-CD4B-4D87-A5A8-46C4DC933E30}"/>
                      </c:ext>
                    </c:extLst>
                  </c:dLbl>
                  <c:dLbl>
                    <c:idx val="9"/>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1E-CD4B-4D87-A5A8-46C4DC933E30}"/>
                      </c:ext>
                    </c:extLst>
                  </c:dLbl>
                  <c:dLbl>
                    <c:idx val="1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1F-CD4B-4D87-A5A8-46C4DC933E30}"/>
                      </c:ext>
                    </c:extLst>
                  </c:dLbl>
                  <c:dLbl>
                    <c:idx val="11"/>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20-CD4B-4D87-A5A8-46C4DC933E30}"/>
                      </c:ext>
                    </c:extLst>
                  </c:dLbl>
                  <c:dLbl>
                    <c:idx val="12"/>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21-CD4B-4D87-A5A8-46C4DC933E30}"/>
                      </c:ext>
                    </c:extLst>
                  </c:dLbl>
                  <c:dLbl>
                    <c:idx val="13"/>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22-CD4B-4D87-A5A8-46C4DC933E30}"/>
                      </c:ext>
                    </c:extLst>
                  </c:dLbl>
                  <c:dLbl>
                    <c:idx val="14"/>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23-CD4B-4D87-A5A8-46C4DC933E30}"/>
                      </c:ext>
                    </c:extLst>
                  </c:dLbl>
                  <c:dLbl>
                    <c:idx val="15"/>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24-CD4B-4D87-A5A8-46C4DC933E30}"/>
                      </c:ext>
                    </c:extLst>
                  </c:dLbl>
                  <c:dLbl>
                    <c:idx val="16"/>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25-CD4B-4D87-A5A8-46C4DC933E30}"/>
                      </c:ext>
                    </c:extLst>
                  </c:dLbl>
                  <c:numFmt formatCode="#,##0.00" sourceLinked="0"/>
                  <c:spPr>
                    <a:solidFill>
                      <a:srgbClr val="FFD76D"/>
                    </a:solid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numRef>
                    <c:extLst xmlns:c15="http://schemas.microsoft.com/office/drawing/2012/chart">
                      <c:ext xmlns:c15="http://schemas.microsoft.com/office/drawing/2012/chart" uri="{02D57815-91ED-43cb-92C2-25804820EDAC}">
                        <c15:formulaRef>
                          <c15:sqref>'2-Charts'!$C$4:$Y$4</c15:sqref>
                        </c15:formulaRef>
                      </c:ext>
                    </c:extLst>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2021</c:v>
                      </c:pt>
                      <c:pt idx="20">
                        <c:v>2022</c:v>
                      </c:pt>
                    </c:numCache>
                  </c:numRef>
                </c:cat>
                <c:val>
                  <c:numRef>
                    <c:extLst xmlns:c15="http://schemas.microsoft.com/office/drawing/2012/chart">
                      <c:ext xmlns:c15="http://schemas.microsoft.com/office/drawing/2012/chart" uri="{02D57815-91ED-43cb-92C2-25804820EDAC}">
                        <c15:formulaRef>
                          <c15:sqref>'2-Charts'!$C$6:$Y$6</c15:sqref>
                        </c15:formulaRef>
                      </c:ext>
                    </c:extLst>
                    <c:numCache>
                      <c:formatCode>_(* #,##0_);_(* \(#,##0\);_(* "-"??_);_(@_)</c:formatCode>
                      <c:ptCount val="21"/>
                      <c:pt idx="0">
                        <c:v>5894143</c:v>
                      </c:pt>
                      <c:pt idx="1">
                        <c:v>5970452</c:v>
                      </c:pt>
                      <c:pt idx="2">
                        <c:v>6059698</c:v>
                      </c:pt>
                      <c:pt idx="3">
                        <c:v>6126917</c:v>
                      </c:pt>
                      <c:pt idx="4">
                        <c:v>6208532</c:v>
                      </c:pt>
                      <c:pt idx="5">
                        <c:v>6298797</c:v>
                      </c:pt>
                      <c:pt idx="6">
                        <c:v>6420219</c:v>
                      </c:pt>
                      <c:pt idx="7">
                        <c:v>6525121</c:v>
                      </c:pt>
                      <c:pt idx="8">
                        <c:v>6608234</c:v>
                      </c:pt>
                      <c:pt idx="9">
                        <c:v>6672263</c:v>
                      </c:pt>
                      <c:pt idx="10">
                        <c:v>6724540</c:v>
                      </c:pt>
                      <c:pt idx="11">
                        <c:v>6767900</c:v>
                      </c:pt>
                      <c:pt idx="12">
                        <c:v>6817770</c:v>
                      </c:pt>
                      <c:pt idx="13">
                        <c:v>6882400</c:v>
                      </c:pt>
                      <c:pt idx="14">
                        <c:v>6968170</c:v>
                      </c:pt>
                      <c:pt idx="15">
                        <c:v>7061410</c:v>
                      </c:pt>
                      <c:pt idx="16">
                        <c:v>7183700</c:v>
                      </c:pt>
                      <c:pt idx="17">
                        <c:v>7310300</c:v>
                      </c:pt>
                      <c:pt idx="18">
                        <c:v>7427570</c:v>
                      </c:pt>
                      <c:pt idx="19">
                        <c:v>7656200</c:v>
                      </c:pt>
                      <c:pt idx="20">
                        <c:v>7864400</c:v>
                      </c:pt>
                    </c:numCache>
                  </c:numRef>
                </c:val>
                <c:smooth val="0"/>
                <c:extLst xmlns:c15="http://schemas.microsoft.com/office/drawing/2012/chart">
                  <c:ext xmlns:c16="http://schemas.microsoft.com/office/drawing/2014/chart" uri="{C3380CC4-5D6E-409C-BE32-E72D297353CC}">
                    <c16:uniqueId val="{00000026-CD4B-4D87-A5A8-46C4DC933E30}"/>
                  </c:ext>
                </c:extLst>
              </c15:ser>
            </c15:filteredLineSeries>
          </c:ext>
        </c:extLst>
      </c:lineChart>
      <c:catAx>
        <c:axId val="233741824"/>
        <c:scaling>
          <c:orientation val="minMax"/>
        </c:scaling>
        <c:delete val="0"/>
        <c:axPos val="b"/>
        <c:majorGridlines>
          <c:spPr>
            <a:ln w="9525" cap="flat" cmpd="sng" algn="ctr">
              <a:solidFill>
                <a:schemeClr val="tx1">
                  <a:alpha val="25000"/>
                </a:schemeClr>
              </a:solidFill>
              <a:round/>
            </a:ln>
            <a:effectLst/>
          </c:spPr>
        </c:majorGridlines>
        <c:numFmt formatCode="General" sourceLinked="1"/>
        <c:majorTickMark val="none"/>
        <c:minorTickMark val="none"/>
        <c:tickLblPos val="nextTo"/>
        <c:spPr>
          <a:noFill/>
          <a:ln w="12700" cap="flat" cmpd="sng" algn="ctr">
            <a:solidFill>
              <a:schemeClr val="lt1"/>
            </a:solidFill>
            <a:round/>
          </a:ln>
          <a:effectLst/>
        </c:spPr>
        <c:txPr>
          <a:bodyPr rot="-5400000" spcFirstLastPara="1" vertOverflow="ellipsis" wrap="square" anchor="ctr" anchorCtr="1"/>
          <a:lstStyle/>
          <a:p>
            <a:pPr>
              <a:defRPr sz="1400" b="0" i="0" u="none" strike="noStrike" kern="1200" spc="100" baseline="0">
                <a:solidFill>
                  <a:schemeClr val="tx1"/>
                </a:solidFill>
                <a:latin typeface="+mn-lt"/>
                <a:ea typeface="+mn-ea"/>
                <a:cs typeface="+mn-cs"/>
              </a:defRPr>
            </a:pPr>
            <a:endParaRPr lang="en-US"/>
          </a:p>
        </c:txPr>
        <c:crossAx val="231824384"/>
        <c:crosses val="autoZero"/>
        <c:auto val="1"/>
        <c:lblAlgn val="ctr"/>
        <c:lblOffset val="100"/>
        <c:tickLblSkip val="1"/>
        <c:noMultiLvlLbl val="0"/>
      </c:catAx>
      <c:valAx>
        <c:axId val="231824384"/>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alpha val="0"/>
                  </a:schemeClr>
                </a:solidFill>
                <a:latin typeface="+mn-lt"/>
                <a:ea typeface="+mn-ea"/>
                <a:cs typeface="+mn-cs"/>
              </a:defRPr>
            </a:pPr>
            <a:endParaRPr lang="en-US"/>
          </a:p>
        </c:txPr>
        <c:crossAx val="233741824"/>
        <c:crosses val="autoZero"/>
        <c:crossBetween val="between"/>
      </c:valAx>
      <c:valAx>
        <c:axId val="230307104"/>
        <c:scaling>
          <c:orientation val="minMax"/>
        </c:scaling>
        <c:delete val="0"/>
        <c:axPos val="r"/>
        <c:title>
          <c:tx>
            <c:rich>
              <a:bodyPr rot="5400000" spcFirstLastPara="1" vertOverflow="ellipsis" wrap="square" anchor="ctr" anchorCtr="1"/>
              <a:lstStyle/>
              <a:p>
                <a:pPr>
                  <a:defRPr sz="2800" b="1" i="0" u="none" strike="noStrike" kern="1200" baseline="0">
                    <a:ln w="3175">
                      <a:noFill/>
                    </a:ln>
                    <a:solidFill>
                      <a:schemeClr val="lt1"/>
                    </a:solidFill>
                    <a:latin typeface="+mn-lt"/>
                    <a:ea typeface="+mn-ea"/>
                    <a:cs typeface="+mn-cs"/>
                  </a:defRPr>
                </a:pPr>
                <a:r>
                  <a:rPr lang="en-US" sz="2800">
                    <a:ln w="3175">
                      <a:noFill/>
                    </a:ln>
                    <a:solidFill>
                      <a:schemeClr val="accent4"/>
                    </a:solidFill>
                  </a:rPr>
                  <a:t>Trash </a:t>
                </a:r>
                <a:r>
                  <a:rPr lang="en-US" sz="2800">
                    <a:ln w="3175">
                      <a:noFill/>
                    </a:ln>
                    <a:solidFill>
                      <a:sysClr val="windowText" lastClr="000000"/>
                    </a:solidFill>
                  </a:rPr>
                  <a:t>and</a:t>
                </a:r>
                <a:r>
                  <a:rPr lang="en-US" sz="2800">
                    <a:ln w="3175">
                      <a:noFill/>
                    </a:ln>
                  </a:rPr>
                  <a:t> </a:t>
                </a:r>
                <a:r>
                  <a:rPr lang="en-US" sz="2800">
                    <a:ln w="3175">
                      <a:noFill/>
                    </a:ln>
                    <a:solidFill>
                      <a:schemeClr val="accent3"/>
                    </a:solidFill>
                  </a:rPr>
                  <a:t>recycling</a:t>
                </a:r>
                <a:r>
                  <a:rPr lang="en-US" sz="2800">
                    <a:ln w="3175">
                      <a:noFill/>
                    </a:ln>
                  </a:rPr>
                  <a:t> </a:t>
                </a:r>
                <a:r>
                  <a:rPr lang="en-US" sz="2800">
                    <a:ln w="3175">
                      <a:noFill/>
                    </a:ln>
                    <a:solidFill>
                      <a:sysClr val="windowText" lastClr="000000"/>
                    </a:solidFill>
                  </a:rPr>
                  <a:t>lbs/person/day</a:t>
                </a:r>
              </a:p>
            </c:rich>
          </c:tx>
          <c:layout>
            <c:manualLayout>
              <c:xMode val="edge"/>
              <c:yMode val="edge"/>
              <c:x val="0.90677379319354623"/>
              <c:y val="0.28940333507262639"/>
            </c:manualLayout>
          </c:layout>
          <c:overlay val="0"/>
          <c:spPr>
            <a:noFill/>
            <a:ln>
              <a:noFill/>
            </a:ln>
            <a:effectLst/>
          </c:spPr>
          <c:txPr>
            <a:bodyPr rot="5400000" spcFirstLastPara="1" vertOverflow="ellipsis" wrap="square" anchor="ctr" anchorCtr="1"/>
            <a:lstStyle/>
            <a:p>
              <a:pPr>
                <a:defRPr sz="2800" b="1" i="0" u="none" strike="noStrike" kern="1200" baseline="0">
                  <a:ln w="3175">
                    <a:noFill/>
                  </a:ln>
                  <a:solidFill>
                    <a:schemeClr val="lt1"/>
                  </a:solidFill>
                  <a:latin typeface="+mn-lt"/>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alpha val="0"/>
                  </a:schemeClr>
                </a:solidFill>
                <a:latin typeface="+mn-lt"/>
                <a:ea typeface="+mn-ea"/>
                <a:cs typeface="+mn-cs"/>
              </a:defRPr>
            </a:pPr>
            <a:endParaRPr lang="en-US"/>
          </a:p>
        </c:txPr>
        <c:crossAx val="144729864"/>
        <c:crosses val="max"/>
        <c:crossBetween val="between"/>
      </c:valAx>
      <c:catAx>
        <c:axId val="144729864"/>
        <c:scaling>
          <c:orientation val="minMax"/>
        </c:scaling>
        <c:delete val="1"/>
        <c:axPos val="b"/>
        <c:numFmt formatCode="General" sourceLinked="1"/>
        <c:majorTickMark val="out"/>
        <c:minorTickMark val="none"/>
        <c:tickLblPos val="nextTo"/>
        <c:crossAx val="230307104"/>
        <c:crosses val="autoZero"/>
        <c:auto val="1"/>
        <c:lblAlgn val="ctr"/>
        <c:lblOffset val="100"/>
        <c:noMultiLvlLbl val="0"/>
      </c:catAx>
      <c:spPr>
        <a:noFill/>
        <a:ln>
          <a:noFill/>
        </a:ln>
        <a:effectLst/>
      </c:spPr>
    </c:plotArea>
    <c:plotVisOnly val="1"/>
    <c:dispBlanksAs val="gap"/>
    <c:showDLblsOverMax val="0"/>
  </c:chart>
  <c:spPr>
    <a:solidFill>
      <a:srgbClr val="D9D9D9">
        <a:alpha val="50000"/>
      </a:srgbClr>
    </a:solidFill>
    <a:ln w="9525" cap="flat" cmpd="sng" algn="ctr">
      <a:solidFill>
        <a:schemeClr val="bg1">
          <a:lumMod val="6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r>
              <a:rPr lang="en-US">
                <a:latin typeface="+mn-lt"/>
              </a:rPr>
              <a:t>Recovery rate in Washington</a:t>
            </a:r>
          </a:p>
        </c:rich>
      </c:tx>
      <c:layout>
        <c:manualLayout>
          <c:xMode val="edge"/>
          <c:yMode val="edge"/>
          <c:x val="5.0035015918886663E-2"/>
          <c:y val="1.0104837021046307E-2"/>
        </c:manualLayout>
      </c:layout>
      <c:overlay val="0"/>
      <c:spPr>
        <a:noFill/>
        <a:ln>
          <a:noFill/>
        </a:ln>
        <a:effectLst/>
      </c:spPr>
      <c:txPr>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endParaRPr lang="en-US"/>
        </a:p>
      </c:txPr>
    </c:title>
    <c:autoTitleDeleted val="0"/>
    <c:plotArea>
      <c:layout/>
      <c:lineChart>
        <c:grouping val="standard"/>
        <c:varyColors val="0"/>
        <c:ser>
          <c:idx val="0"/>
          <c:order val="0"/>
          <c:tx>
            <c:strRef>
              <c:f>'2-Charts'!$B$54</c:f>
              <c:strCache>
                <c:ptCount val="1"/>
                <c:pt idx="0">
                  <c:v>Recovery Rate (new measure)</c:v>
                </c:pt>
              </c:strCache>
            </c:strRef>
          </c:tx>
          <c:spPr>
            <a:ln w="57150" cap="rnd">
              <a:solidFill>
                <a:schemeClr val="accent1"/>
              </a:solidFill>
              <a:round/>
            </a:ln>
            <a:effectLst/>
          </c:spPr>
          <c:marker>
            <c:symbol val="none"/>
          </c:marker>
          <c:dLbls>
            <c:dLbl>
              <c:idx val="0"/>
              <c:layout>
                <c:manualLayout>
                  <c:x val="-3.3888904795991423E-2"/>
                  <c:y val="-4.37467796762558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8FA-4D06-890A-3DDD15338397}"/>
                </c:ext>
              </c:extLst>
            </c:dLbl>
            <c:dLbl>
              <c:idx val="1"/>
              <c:delete val="1"/>
              <c:extLst>
                <c:ext xmlns:c15="http://schemas.microsoft.com/office/drawing/2012/chart" uri="{CE6537A1-D6FC-4f65-9D91-7224C49458BB}"/>
                <c:ext xmlns:c16="http://schemas.microsoft.com/office/drawing/2014/chart" uri="{C3380CC4-5D6E-409C-BE32-E72D297353CC}">
                  <c16:uniqueId val="{00000001-E8FA-4D06-890A-3DDD15338397}"/>
                </c:ext>
              </c:extLst>
            </c:dLbl>
            <c:dLbl>
              <c:idx val="2"/>
              <c:delete val="1"/>
              <c:extLst>
                <c:ext xmlns:c15="http://schemas.microsoft.com/office/drawing/2012/chart" uri="{CE6537A1-D6FC-4f65-9D91-7224C49458BB}"/>
                <c:ext xmlns:c16="http://schemas.microsoft.com/office/drawing/2014/chart" uri="{C3380CC4-5D6E-409C-BE32-E72D297353CC}">
                  <c16:uniqueId val="{00000002-E8FA-4D06-890A-3DDD15338397}"/>
                </c:ext>
              </c:extLst>
            </c:dLbl>
            <c:dLbl>
              <c:idx val="3"/>
              <c:delete val="1"/>
              <c:extLst>
                <c:ext xmlns:c15="http://schemas.microsoft.com/office/drawing/2012/chart" uri="{CE6537A1-D6FC-4f65-9D91-7224C49458BB}"/>
                <c:ext xmlns:c16="http://schemas.microsoft.com/office/drawing/2014/chart" uri="{C3380CC4-5D6E-409C-BE32-E72D297353CC}">
                  <c16:uniqueId val="{00000003-E8FA-4D06-890A-3DDD15338397}"/>
                </c:ext>
              </c:extLst>
            </c:dLbl>
            <c:dLbl>
              <c:idx val="4"/>
              <c:delete val="1"/>
              <c:extLst>
                <c:ext xmlns:c15="http://schemas.microsoft.com/office/drawing/2012/chart" uri="{CE6537A1-D6FC-4f65-9D91-7224C49458BB}"/>
                <c:ext xmlns:c16="http://schemas.microsoft.com/office/drawing/2014/chart" uri="{C3380CC4-5D6E-409C-BE32-E72D297353CC}">
                  <c16:uniqueId val="{00000004-E8FA-4D06-890A-3DDD15338397}"/>
                </c:ext>
              </c:extLst>
            </c:dLbl>
            <c:dLbl>
              <c:idx val="5"/>
              <c:delete val="1"/>
              <c:extLst>
                <c:ext xmlns:c15="http://schemas.microsoft.com/office/drawing/2012/chart" uri="{CE6537A1-D6FC-4f65-9D91-7224C49458BB}"/>
                <c:ext xmlns:c16="http://schemas.microsoft.com/office/drawing/2014/chart" uri="{C3380CC4-5D6E-409C-BE32-E72D297353CC}">
                  <c16:uniqueId val="{00000005-E8FA-4D06-890A-3DDD15338397}"/>
                </c:ext>
              </c:extLst>
            </c:dLbl>
            <c:dLbl>
              <c:idx val="6"/>
              <c:delete val="1"/>
              <c:extLst>
                <c:ext xmlns:c15="http://schemas.microsoft.com/office/drawing/2012/chart" uri="{CE6537A1-D6FC-4f65-9D91-7224C49458BB}"/>
                <c:ext xmlns:c16="http://schemas.microsoft.com/office/drawing/2014/chart" uri="{C3380CC4-5D6E-409C-BE32-E72D297353CC}">
                  <c16:uniqueId val="{00000006-E8FA-4D06-890A-3DDD15338397}"/>
                </c:ext>
              </c:extLst>
            </c:dLbl>
            <c:dLbl>
              <c:idx val="7"/>
              <c:delete val="1"/>
              <c:extLst>
                <c:ext xmlns:c15="http://schemas.microsoft.com/office/drawing/2012/chart" uri="{CE6537A1-D6FC-4f65-9D91-7224C49458BB}"/>
                <c:ext xmlns:c16="http://schemas.microsoft.com/office/drawing/2014/chart" uri="{C3380CC4-5D6E-409C-BE32-E72D297353CC}">
                  <c16:uniqueId val="{00000007-E8FA-4D06-890A-3DDD15338397}"/>
                </c:ext>
              </c:extLst>
            </c:dLbl>
            <c:dLbl>
              <c:idx val="8"/>
              <c:delete val="1"/>
              <c:extLst>
                <c:ext xmlns:c15="http://schemas.microsoft.com/office/drawing/2012/chart" uri="{CE6537A1-D6FC-4f65-9D91-7224C49458BB}"/>
                <c:ext xmlns:c16="http://schemas.microsoft.com/office/drawing/2014/chart" uri="{C3380CC4-5D6E-409C-BE32-E72D297353CC}">
                  <c16:uniqueId val="{00000008-E8FA-4D06-890A-3DDD15338397}"/>
                </c:ext>
              </c:extLst>
            </c:dLbl>
            <c:dLbl>
              <c:idx val="9"/>
              <c:delete val="1"/>
              <c:extLst>
                <c:ext xmlns:c15="http://schemas.microsoft.com/office/drawing/2012/chart" uri="{CE6537A1-D6FC-4f65-9D91-7224C49458BB}"/>
                <c:ext xmlns:c16="http://schemas.microsoft.com/office/drawing/2014/chart" uri="{C3380CC4-5D6E-409C-BE32-E72D297353CC}">
                  <c16:uniqueId val="{00000009-E8FA-4D06-890A-3DDD15338397}"/>
                </c:ext>
              </c:extLst>
            </c:dLbl>
            <c:dLbl>
              <c:idx val="10"/>
              <c:delete val="1"/>
              <c:extLst>
                <c:ext xmlns:c15="http://schemas.microsoft.com/office/drawing/2012/chart" uri="{CE6537A1-D6FC-4f65-9D91-7224C49458BB}"/>
                <c:ext xmlns:c16="http://schemas.microsoft.com/office/drawing/2014/chart" uri="{C3380CC4-5D6E-409C-BE32-E72D297353CC}">
                  <c16:uniqueId val="{0000000A-E8FA-4D06-890A-3DDD15338397}"/>
                </c:ext>
              </c:extLst>
            </c:dLbl>
            <c:dLbl>
              <c:idx val="11"/>
              <c:layout>
                <c:manualLayout>
                  <c:x val="9.747458840372137E-3"/>
                  <c:y val="-2.61798055875426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8FA-4D06-890A-3DDD15338397}"/>
                </c:ext>
              </c:extLst>
            </c:dLbl>
            <c:dLbl>
              <c:idx val="12"/>
              <c:delete val="1"/>
              <c:extLst>
                <c:ext xmlns:c15="http://schemas.microsoft.com/office/drawing/2012/chart" uri="{CE6537A1-D6FC-4f65-9D91-7224C49458BB}"/>
                <c:ext xmlns:c16="http://schemas.microsoft.com/office/drawing/2014/chart" uri="{C3380CC4-5D6E-409C-BE32-E72D297353CC}">
                  <c16:uniqueId val="{0000000C-E8FA-4D06-890A-3DDD15338397}"/>
                </c:ext>
              </c:extLst>
            </c:dLbl>
            <c:dLbl>
              <c:idx val="13"/>
              <c:delete val="1"/>
              <c:extLst>
                <c:ext xmlns:c15="http://schemas.microsoft.com/office/drawing/2012/chart" uri="{CE6537A1-D6FC-4f65-9D91-7224C49458BB}"/>
                <c:ext xmlns:c16="http://schemas.microsoft.com/office/drawing/2014/chart" uri="{C3380CC4-5D6E-409C-BE32-E72D297353CC}">
                  <c16:uniqueId val="{0000000D-E8FA-4D06-890A-3DDD15338397}"/>
                </c:ext>
              </c:extLst>
            </c:dLbl>
            <c:dLbl>
              <c:idx val="14"/>
              <c:delete val="1"/>
              <c:extLst>
                <c:ext xmlns:c15="http://schemas.microsoft.com/office/drawing/2012/chart" uri="{CE6537A1-D6FC-4f65-9D91-7224C49458BB}"/>
                <c:ext xmlns:c16="http://schemas.microsoft.com/office/drawing/2014/chart" uri="{C3380CC4-5D6E-409C-BE32-E72D297353CC}">
                  <c16:uniqueId val="{0000000E-E8FA-4D06-890A-3DDD15338397}"/>
                </c:ext>
              </c:extLst>
            </c:dLbl>
            <c:dLbl>
              <c:idx val="15"/>
              <c:delete val="1"/>
              <c:extLst>
                <c:ext xmlns:c15="http://schemas.microsoft.com/office/drawing/2012/chart" uri="{CE6537A1-D6FC-4f65-9D91-7224C49458BB}"/>
                <c:ext xmlns:c16="http://schemas.microsoft.com/office/drawing/2014/chart" uri="{C3380CC4-5D6E-409C-BE32-E72D297353CC}">
                  <c16:uniqueId val="{0000000F-E8FA-4D06-890A-3DDD15338397}"/>
                </c:ext>
              </c:extLst>
            </c:dLbl>
            <c:dLbl>
              <c:idx val="16"/>
              <c:delete val="1"/>
              <c:extLst>
                <c:ext xmlns:c15="http://schemas.microsoft.com/office/drawing/2012/chart" uri="{CE6537A1-D6FC-4f65-9D91-7224C49458BB}"/>
                <c:ext xmlns:c16="http://schemas.microsoft.com/office/drawing/2014/chart" uri="{C3380CC4-5D6E-409C-BE32-E72D297353CC}">
                  <c16:uniqueId val="{00000010-E8FA-4D06-890A-3DDD15338397}"/>
                </c:ext>
              </c:extLst>
            </c:dLbl>
            <c:dLbl>
              <c:idx val="17"/>
              <c:delete val="1"/>
              <c:extLst>
                <c:ext xmlns:c15="http://schemas.microsoft.com/office/drawing/2012/chart" uri="{CE6537A1-D6FC-4f65-9D91-7224C49458BB}"/>
                <c:ext xmlns:c16="http://schemas.microsoft.com/office/drawing/2014/chart" uri="{C3380CC4-5D6E-409C-BE32-E72D297353CC}">
                  <c16:uniqueId val="{00000000-D7C4-4F15-B251-9DD8950A66E6}"/>
                </c:ext>
              </c:extLst>
            </c:dLbl>
            <c:dLbl>
              <c:idx val="18"/>
              <c:delete val="1"/>
              <c:extLst>
                <c:ext xmlns:c15="http://schemas.microsoft.com/office/drawing/2012/chart" uri="{CE6537A1-D6FC-4f65-9D91-7224C49458BB}"/>
                <c:ext xmlns:c16="http://schemas.microsoft.com/office/drawing/2014/chart" uri="{C3380CC4-5D6E-409C-BE32-E72D297353CC}">
                  <c16:uniqueId val="{00000000-6CE0-4354-A14F-EE0C2B20D8EB}"/>
                </c:ext>
              </c:extLst>
            </c:dLbl>
            <c:dLbl>
              <c:idx val="20"/>
              <c:layout>
                <c:manualLayout>
                  <c:x val="-1.3878379060346069E-16"/>
                  <c:y val="2.64026356898840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A33-4306-8F7F-007CA93CB795}"/>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'2-Charts'!$C$53:$Y$53</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2021</c:v>
                </c:pt>
                <c:pt idx="20">
                  <c:v>2022</c:v>
                </c:pt>
              </c:numCache>
            </c:numRef>
          </c:cat>
          <c:val>
            <c:numRef>
              <c:f>'2-Charts'!$C$54:$Y$54</c:f>
              <c:numCache>
                <c:formatCode>0.0%</c:formatCode>
                <c:ptCount val="21"/>
                <c:pt idx="0">
                  <c:v>0.37130798722922609</c:v>
                </c:pt>
                <c:pt idx="1">
                  <c:v>0.40518608717686289</c:v>
                </c:pt>
                <c:pt idx="2">
                  <c:v>0.44283473685945718</c:v>
                </c:pt>
                <c:pt idx="3">
                  <c:v>0.45919109767062916</c:v>
                </c:pt>
                <c:pt idx="4">
                  <c:v>0.48823071813776808</c:v>
                </c:pt>
                <c:pt idx="5">
                  <c:v>0.47833607344101975</c:v>
                </c:pt>
                <c:pt idx="6">
                  <c:v>0.49704372559775029</c:v>
                </c:pt>
                <c:pt idx="7">
                  <c:v>0.4738475202408986</c:v>
                </c:pt>
                <c:pt idx="8">
                  <c:v>0.47482233402867075</c:v>
                </c:pt>
                <c:pt idx="9">
                  <c:v>0.5478726362954105</c:v>
                </c:pt>
                <c:pt idx="10">
                  <c:v>0.53868100970928967</c:v>
                </c:pt>
                <c:pt idx="11">
                  <c:v>0.5661626337166924</c:v>
                </c:pt>
                <c:pt idx="12">
                  <c:v>0.52358802161128737</c:v>
                </c:pt>
                <c:pt idx="13">
                  <c:v>0.50930566310063752</c:v>
                </c:pt>
                <c:pt idx="14">
                  <c:v>0.48325365907308476</c:v>
                </c:pt>
                <c:pt idx="15">
                  <c:v>0.4703308981961194</c:v>
                </c:pt>
                <c:pt idx="16">
                  <c:v>0.47564099373608759</c:v>
                </c:pt>
                <c:pt idx="17">
                  <c:v>0.48542666680773905</c:v>
                </c:pt>
                <c:pt idx="18">
                  <c:v>0.48582465588589857</c:v>
                </c:pt>
                <c:pt idx="19">
                  <c:v>0.49108106164595855</c:v>
                </c:pt>
                <c:pt idx="20">
                  <c:v>0.42494580578163743</c:v>
                </c:pt>
              </c:numCache>
            </c:numRef>
          </c:val>
          <c:smooth val="0"/>
          <c:extLst>
            <c:ext xmlns:c16="http://schemas.microsoft.com/office/drawing/2014/chart" uri="{C3380CC4-5D6E-409C-BE32-E72D297353CC}">
              <c16:uniqueId val="{00000011-E8FA-4D06-890A-3DDD15338397}"/>
            </c:ext>
          </c:extLst>
        </c:ser>
        <c:dLbls>
          <c:dLblPos val="t"/>
          <c:showLegendKey val="0"/>
          <c:showVal val="1"/>
          <c:showCatName val="0"/>
          <c:showSerName val="0"/>
          <c:showPercent val="0"/>
          <c:showBubbleSize val="0"/>
        </c:dLbls>
        <c:smooth val="0"/>
        <c:axId val="232312496"/>
        <c:axId val="232312888"/>
      </c:lineChart>
      <c:catAx>
        <c:axId val="232312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cap="none" spc="0" normalizeH="0" baseline="0">
                <a:solidFill>
                  <a:schemeClr val="tx1">
                    <a:lumMod val="65000"/>
                    <a:lumOff val="35000"/>
                  </a:schemeClr>
                </a:solidFill>
                <a:latin typeface="+mn-lt"/>
                <a:ea typeface="+mn-ea"/>
                <a:cs typeface="+mn-cs"/>
              </a:defRPr>
            </a:pPr>
            <a:endParaRPr lang="en-US"/>
          </a:p>
        </c:txPr>
        <c:crossAx val="232312888"/>
        <c:crosses val="autoZero"/>
        <c:auto val="1"/>
        <c:lblAlgn val="ctr"/>
        <c:lblOffset val="100"/>
        <c:tickLblSkip val="1"/>
        <c:noMultiLvlLbl val="0"/>
      </c:catAx>
      <c:valAx>
        <c:axId val="232312888"/>
        <c:scaling>
          <c:orientation val="minMax"/>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232312496"/>
        <c:crosses val="autoZero"/>
        <c:crossBetween val="between"/>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withinLinear" id="17">
  <a:schemeClr val="accent4"/>
</cs:colorStyle>
</file>

<file path=xl/charts/colors2.xml><?xml version="1.0" encoding="utf-8"?>
<cs:colorStyle xmlns:cs="http://schemas.microsoft.com/office/drawing/2012/chartStyle" xmlns:a="http://schemas.openxmlformats.org/drawingml/2006/main" meth="withinLinear" id="17">
  <a:schemeClr val="accent4"/>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9">
  <cs:axisTitle>
    <cs:lnRef idx="0"/>
    <cs:fillRef idx="0"/>
    <cs:effectRef idx="0"/>
    <cs:fontRef idx="minor">
      <a:schemeClr val="lt1"/>
    </cs:fontRef>
    <cs:defRPr sz="900" b="1" kern="1200"/>
  </cs:axisTitle>
  <cs:categoryAxis>
    <cs:lnRef idx="0">
      <cs:styleClr val="0"/>
    </cs:lnRef>
    <cs:fillRef idx="0"/>
    <cs:effectRef idx="0"/>
    <cs:fontRef idx="minor">
      <a:schemeClr val="lt1"/>
    </cs:fontRef>
    <cs:spPr>
      <a:ln w="12700" cap="flat" cmpd="sng" algn="ctr">
        <a:solidFill>
          <a:schemeClr val="lt1"/>
        </a:solidFill>
        <a:round/>
      </a:ln>
    </cs:spPr>
    <cs:defRPr sz="900" kern="1200" spc="10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phClr"/>
        </a:solidFill>
        <a:round/>
      </a:ln>
    </cs:spPr>
    <cs:defRPr sz="1000" kern="1200"/>
  </cs:chartArea>
  <cs:dataLabel>
    <cs:lnRef idx="0"/>
    <cs:fillRef idx="0"/>
    <cs:effectRef idx="0"/>
    <cs:fontRef idx="minor">
      <a:schemeClr val="lt1"/>
    </cs:fontRef>
    <cs:defRPr sz="900" b="1"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34925"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a:ln w="22225">
        <a:solidFill>
          <a:schemeClr val="lt1"/>
        </a:solidFill>
        <a:round/>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fillRef idx="0"/>
    <cs:effectRef idx="0"/>
    <cs:fontRef idx="minor">
      <a:schemeClr val="dk1"/>
    </cs:fontRef>
    <cs:spPr>
      <a:ln w="9525" cap="flat" cmpd="sng" algn="ctr">
        <a:gradFill>
          <a:gsLst>
            <a:gs pos="0">
              <a:schemeClr val="lt1"/>
            </a:gs>
            <a:gs pos="100000">
              <a:schemeClr val="lt1">
                <a:alpha val="0"/>
              </a:schemeClr>
            </a:gs>
          </a:gsLst>
          <a:lin ang="5400000" scaled="0"/>
        </a:gradFill>
        <a:round/>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spPr>
      <a:ln w="3175" cap="flat" cmpd="sng" algn="ctr">
        <a:solidFill>
          <a:schemeClr val="phClr">
            <a:lumMod val="60000"/>
            <a:lumOff val="40000"/>
          </a:schemeClr>
        </a:solidFill>
        <a:round/>
      </a:ln>
    </cs:spPr>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29">
  <cs:axisTitle>
    <cs:lnRef idx="0"/>
    <cs:fillRef idx="0"/>
    <cs:effectRef idx="0"/>
    <cs:fontRef idx="minor">
      <a:schemeClr val="lt1"/>
    </cs:fontRef>
    <cs:defRPr sz="900" b="1" kern="1200"/>
  </cs:axisTitle>
  <cs:categoryAxis>
    <cs:lnRef idx="0">
      <cs:styleClr val="0"/>
    </cs:lnRef>
    <cs:fillRef idx="0"/>
    <cs:effectRef idx="0"/>
    <cs:fontRef idx="minor">
      <a:schemeClr val="lt1"/>
    </cs:fontRef>
    <cs:spPr>
      <a:ln w="12700" cap="flat" cmpd="sng" algn="ctr">
        <a:solidFill>
          <a:schemeClr val="lt1"/>
        </a:solidFill>
        <a:round/>
      </a:ln>
    </cs:spPr>
    <cs:defRPr sz="900" kern="1200" spc="10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phClr"/>
        </a:solidFill>
        <a:round/>
      </a:ln>
    </cs:spPr>
    <cs:defRPr sz="1000" kern="1200"/>
  </cs:chartArea>
  <cs:dataLabel>
    <cs:lnRef idx="0"/>
    <cs:fillRef idx="0"/>
    <cs:effectRef idx="0"/>
    <cs:fontRef idx="minor">
      <a:schemeClr val="lt1"/>
    </cs:fontRef>
    <cs:defRPr sz="900" b="1"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34925"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a:ln w="22225">
        <a:solidFill>
          <a:schemeClr val="lt1"/>
        </a:solidFill>
        <a:round/>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fillRef idx="0"/>
    <cs:effectRef idx="0"/>
    <cs:fontRef idx="minor">
      <a:schemeClr val="dk1"/>
    </cs:fontRef>
    <cs:spPr>
      <a:ln w="9525" cap="flat" cmpd="sng" algn="ctr">
        <a:gradFill>
          <a:gsLst>
            <a:gs pos="0">
              <a:schemeClr val="lt1"/>
            </a:gs>
            <a:gs pos="100000">
              <a:schemeClr val="lt1">
                <a:alpha val="0"/>
              </a:schemeClr>
            </a:gs>
          </a:gsLst>
          <a:lin ang="5400000" scaled="0"/>
        </a:gradFill>
        <a:round/>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spPr>
      <a:ln w="3175" cap="flat" cmpd="sng" algn="ctr">
        <a:solidFill>
          <a:schemeClr val="phClr">
            <a:lumMod val="60000"/>
            <a:lumOff val="40000"/>
          </a:schemeClr>
        </a:solidFill>
        <a:round/>
      </a:ln>
    </cs:spPr>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3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173832</xdr:colOff>
      <xdr:row>12</xdr:row>
      <xdr:rowOff>151446</xdr:rowOff>
    </xdr:from>
    <xdr:to>
      <xdr:col>13</xdr:col>
      <xdr:colOff>174308</xdr:colOff>
      <xdr:row>47</xdr:row>
      <xdr:rowOff>141299</xdr:rowOff>
    </xdr:to>
    <xdr:graphicFrame macro="">
      <xdr:nvGraphicFramePr>
        <xdr:cNvPr id="8" name="Chart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535782</xdr:colOff>
      <xdr:row>13</xdr:row>
      <xdr:rowOff>10477</xdr:rowOff>
    </xdr:from>
    <xdr:to>
      <xdr:col>33</xdr:col>
      <xdr:colOff>26194</xdr:colOff>
      <xdr:row>48</xdr:row>
      <xdr:rowOff>1</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194787</xdr:colOff>
      <xdr:row>54</xdr:row>
      <xdr:rowOff>85725</xdr:rowOff>
    </xdr:from>
    <xdr:to>
      <xdr:col>13</xdr:col>
      <xdr:colOff>280988</xdr:colOff>
      <xdr:row>89</xdr:row>
      <xdr:rowOff>23813</xdr:rowOff>
    </xdr:to>
    <xdr:graphicFrame macro="">
      <xdr:nvGraphicFramePr>
        <xdr:cNvPr id="10" name="Chart 9">
          <a:extLst>
            <a:ext uri="{FF2B5EF4-FFF2-40B4-BE49-F238E27FC236}">
              <a16:creationId xmlns:a16="http://schemas.microsoft.com/office/drawing/2014/main" id="{00000000-0008-0000-0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0.12671</cdr:x>
      <cdr:y>0.1272</cdr:y>
    </cdr:from>
    <cdr:to>
      <cdr:x>0.29505</cdr:x>
      <cdr:y>0.30203</cdr:y>
    </cdr:to>
    <cdr:sp macro="" textlink="">
      <cdr:nvSpPr>
        <cdr:cNvPr id="2" name="TextBox 5"/>
        <cdr:cNvSpPr txBox="1"/>
      </cdr:nvSpPr>
      <cdr:spPr>
        <a:xfrm xmlns:a="http://schemas.openxmlformats.org/drawingml/2006/main">
          <a:off x="1422689" y="793802"/>
          <a:ext cx="1890105" cy="1091076"/>
        </a:xfrm>
        <a:prstGeom xmlns:a="http://schemas.openxmlformats.org/drawingml/2006/main" prst="rect">
          <a:avLst/>
        </a:prstGeom>
        <a:noFill xmlns:a="http://schemas.openxmlformats.org/drawingml/2006/main"/>
        <a:ln xmlns:a="http://schemas.openxmlformats.org/drawingml/2006/main" w="9525" cap="sq" cmpd="sng">
          <a:noFill/>
          <a:beve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2800" b="1">
              <a:ln w="3175">
                <a:noFill/>
              </a:ln>
              <a:solidFill>
                <a:srgbClr val="44688F"/>
              </a:solidFill>
            </a:rPr>
            <a:t>Waste generation</a:t>
          </a:r>
        </a:p>
      </cdr:txBody>
    </cdr:sp>
  </cdr:relSizeAnchor>
  <cdr:relSizeAnchor xmlns:cdr="http://schemas.openxmlformats.org/drawingml/2006/chartDrawing">
    <cdr:from>
      <cdr:x>0.87686</cdr:x>
      <cdr:y>0.21932</cdr:y>
    </cdr:from>
    <cdr:to>
      <cdr:x>0.95174</cdr:x>
      <cdr:y>0.30907</cdr:y>
    </cdr:to>
    <cdr:sp macro="" textlink="">
      <cdr:nvSpPr>
        <cdr:cNvPr id="5" name="Bent Arrow 4"/>
        <cdr:cNvSpPr>
          <a:spLocks xmlns:a="http://schemas.openxmlformats.org/drawingml/2006/main" noChangeAspect="1"/>
        </cdr:cNvSpPr>
      </cdr:nvSpPr>
      <cdr:spPr bwMode="auto">
        <a:xfrm xmlns:a="http://schemas.openxmlformats.org/drawingml/2006/main" flipH="1">
          <a:off x="12037868" y="1277304"/>
          <a:ext cx="1028049" cy="522694"/>
        </a:xfrm>
        <a:prstGeom xmlns:a="http://schemas.openxmlformats.org/drawingml/2006/main" prst="bentArrow">
          <a:avLst/>
        </a:prstGeom>
        <a:solidFill xmlns:a="http://schemas.openxmlformats.org/drawingml/2006/main">
          <a:schemeClr val="accent4"/>
        </a:solidFill>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rtlCol="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en-US" sz="1100"/>
        </a:p>
      </cdr:txBody>
    </cdr:sp>
  </cdr:relSizeAnchor>
  <cdr:relSizeAnchor xmlns:cdr="http://schemas.openxmlformats.org/drawingml/2006/chartDrawing">
    <cdr:from>
      <cdr:x>0.87674</cdr:x>
      <cdr:y>0.80137</cdr:y>
    </cdr:from>
    <cdr:to>
      <cdr:x>0.95174</cdr:x>
      <cdr:y>0.89192</cdr:y>
    </cdr:to>
    <cdr:sp macro="" textlink="">
      <cdr:nvSpPr>
        <cdr:cNvPr id="6" name="Bent Arrow 5"/>
        <cdr:cNvSpPr>
          <a:spLocks xmlns:a="http://schemas.openxmlformats.org/drawingml/2006/main" noChangeAspect="1"/>
        </cdr:cNvSpPr>
      </cdr:nvSpPr>
      <cdr:spPr bwMode="auto">
        <a:xfrm xmlns:a="http://schemas.openxmlformats.org/drawingml/2006/main" flipH="1" flipV="1">
          <a:off x="12036284" y="4667112"/>
          <a:ext cx="1029634" cy="527348"/>
        </a:xfrm>
        <a:prstGeom xmlns:a="http://schemas.openxmlformats.org/drawingml/2006/main" prst="bentArrow">
          <a:avLst/>
        </a:prstGeom>
        <a:solidFill xmlns:a="http://schemas.openxmlformats.org/drawingml/2006/main">
          <a:srgbClr val="7AA456"/>
        </a:solidFill>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rtlCol="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en-US" sz="1100"/>
        </a:p>
      </cdr:txBody>
    </cdr:sp>
  </cdr:relSizeAnchor>
  <cdr:relSizeAnchor xmlns:cdr="http://schemas.openxmlformats.org/drawingml/2006/chartDrawing">
    <cdr:from>
      <cdr:x>0.05065</cdr:x>
      <cdr:y>0.44185</cdr:y>
    </cdr:from>
    <cdr:to>
      <cdr:x>0.08707</cdr:x>
      <cdr:y>0.50188</cdr:y>
    </cdr:to>
    <cdr:sp macro="" textlink="">
      <cdr:nvSpPr>
        <cdr:cNvPr id="7" name="Right Arrow 6"/>
        <cdr:cNvSpPr>
          <a:spLocks xmlns:a="http://schemas.openxmlformats.org/drawingml/2006/main" noChangeAspect="1"/>
        </cdr:cNvSpPr>
      </cdr:nvSpPr>
      <cdr:spPr bwMode="auto">
        <a:xfrm xmlns:a="http://schemas.openxmlformats.org/drawingml/2006/main">
          <a:off x="695325" y="2572483"/>
          <a:ext cx="500062" cy="349495"/>
        </a:xfrm>
        <a:prstGeom xmlns:a="http://schemas.openxmlformats.org/drawingml/2006/main" prst="rightArrow">
          <a:avLst/>
        </a:prstGeom>
        <a:solidFill xmlns:a="http://schemas.openxmlformats.org/drawingml/2006/main">
          <a:srgbClr val="44688F"/>
        </a:solidFill>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rtlCol="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en-US" sz="1100"/>
        </a:p>
      </cdr:txBody>
    </cdr:sp>
  </cdr:relSizeAnchor>
</c:userShapes>
</file>

<file path=xl/drawings/drawing3.xml><?xml version="1.0" encoding="utf-8"?>
<c:userShapes xmlns:c="http://schemas.openxmlformats.org/drawingml/2006/chart">
  <cdr:relSizeAnchor xmlns:cdr="http://schemas.openxmlformats.org/drawingml/2006/chartDrawing">
    <cdr:from>
      <cdr:x>0.86665</cdr:x>
      <cdr:y>0.1958</cdr:y>
    </cdr:from>
    <cdr:to>
      <cdr:x>0.96773</cdr:x>
      <cdr:y>0.28829</cdr:y>
    </cdr:to>
    <cdr:sp macro="" textlink="">
      <cdr:nvSpPr>
        <cdr:cNvPr id="5" name="Bent Arrow 4"/>
        <cdr:cNvSpPr>
          <a:spLocks xmlns:a="http://schemas.openxmlformats.org/drawingml/2006/main" noChangeAspect="1"/>
        </cdr:cNvSpPr>
      </cdr:nvSpPr>
      <cdr:spPr bwMode="auto">
        <a:xfrm xmlns:a="http://schemas.openxmlformats.org/drawingml/2006/main" flipH="1">
          <a:off x="10193445" y="1139886"/>
          <a:ext cx="1188929" cy="538420"/>
        </a:xfrm>
        <a:prstGeom xmlns:a="http://schemas.openxmlformats.org/drawingml/2006/main" prst="bentArrow">
          <a:avLst>
            <a:gd name="adj1" fmla="val 25000"/>
            <a:gd name="adj2" fmla="val 25000"/>
            <a:gd name="adj3" fmla="val 25000"/>
            <a:gd name="adj4" fmla="val 41932"/>
          </a:avLst>
        </a:prstGeom>
        <a:solidFill xmlns:a="http://schemas.openxmlformats.org/drawingml/2006/main">
          <a:schemeClr val="accent4"/>
        </a:solidFill>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rtlCol="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en-US" sz="1100"/>
        </a:p>
      </cdr:txBody>
    </cdr:sp>
  </cdr:relSizeAnchor>
  <cdr:relSizeAnchor xmlns:cdr="http://schemas.openxmlformats.org/drawingml/2006/chartDrawing">
    <cdr:from>
      <cdr:x>0.86746</cdr:x>
      <cdr:y>0.79362</cdr:y>
    </cdr:from>
    <cdr:to>
      <cdr:x>0.96874</cdr:x>
      <cdr:y>0.88343</cdr:y>
    </cdr:to>
    <cdr:sp macro="" textlink="">
      <cdr:nvSpPr>
        <cdr:cNvPr id="6" name="Bent Arrow 5"/>
        <cdr:cNvSpPr>
          <a:spLocks xmlns:a="http://schemas.openxmlformats.org/drawingml/2006/main" noChangeAspect="1"/>
        </cdr:cNvSpPr>
      </cdr:nvSpPr>
      <cdr:spPr bwMode="auto">
        <a:xfrm xmlns:a="http://schemas.openxmlformats.org/drawingml/2006/main" flipH="1" flipV="1">
          <a:off x="10202974" y="4620221"/>
          <a:ext cx="1191306" cy="522799"/>
        </a:xfrm>
        <a:prstGeom xmlns:a="http://schemas.openxmlformats.org/drawingml/2006/main" prst="bentArrow">
          <a:avLst/>
        </a:prstGeom>
        <a:solidFill xmlns:a="http://schemas.openxmlformats.org/drawingml/2006/main">
          <a:srgbClr val="7AA456"/>
        </a:solidFill>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rtlCol="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en-US" sz="1100"/>
        </a:p>
      </cdr:txBody>
    </cdr:sp>
  </cdr:relSizeAnchor>
</c:userShapes>
</file>

<file path=xl/drawings/drawing4.xml><?xml version="1.0" encoding="utf-8"?>
<c:userShapes xmlns:c="http://schemas.openxmlformats.org/drawingml/2006/chart">
  <cdr:relSizeAnchor xmlns:cdr="http://schemas.openxmlformats.org/drawingml/2006/chartDrawing">
    <cdr:from>
      <cdr:x>0.47912</cdr:x>
      <cdr:y>0.37671</cdr:y>
    </cdr:from>
    <cdr:to>
      <cdr:x>0.6378</cdr:x>
      <cdr:y>0.47004</cdr:y>
    </cdr:to>
    <cdr:sp macro="" textlink="">
      <cdr:nvSpPr>
        <cdr:cNvPr id="3" name="TextBox 2"/>
        <cdr:cNvSpPr txBox="1"/>
      </cdr:nvSpPr>
      <cdr:spPr>
        <a:xfrm xmlns:a="http://schemas.openxmlformats.org/drawingml/2006/main">
          <a:off x="6624320" y="2173710"/>
          <a:ext cx="2193912" cy="538534"/>
        </a:xfrm>
        <a:prstGeom xmlns:a="http://schemas.openxmlformats.org/drawingml/2006/main" prst="roundRect">
          <a:avLst/>
        </a:prstGeom>
        <a:solidFill xmlns:a="http://schemas.openxmlformats.org/drawingml/2006/main">
          <a:schemeClr val="accent1">
            <a:alpha val="80000"/>
          </a:schemeClr>
        </a:solidFill>
      </cdr:spPr>
      <cdr:txBody>
        <a:bodyPr xmlns:a="http://schemas.openxmlformats.org/drawingml/2006/main" vertOverflow="clip" wrap="square" rtlCol="0"/>
        <a:lstStyle xmlns:a="http://schemas.openxmlformats.org/drawingml/2006/main"/>
        <a:p xmlns:a="http://schemas.openxmlformats.org/drawingml/2006/main">
          <a:pPr algn="ctr"/>
          <a:r>
            <a:rPr lang="en-US" sz="2000">
              <a:latin typeface="+mj-lt"/>
            </a:rPr>
            <a:t>Recovery rate </a:t>
          </a:r>
        </a:p>
      </cdr:txBody>
    </cdr:sp>
  </cdr:relSizeAnchor>
  <cdr:relSizeAnchor xmlns:cdr="http://schemas.openxmlformats.org/drawingml/2006/chartDrawing">
    <cdr:from>
      <cdr:x>0.4686</cdr:x>
      <cdr:y>0.54316</cdr:y>
    </cdr:from>
    <cdr:to>
      <cdr:x>0.74475</cdr:x>
      <cdr:y>0.72788</cdr:y>
    </cdr:to>
    <cdr:sp macro="" textlink="">
      <cdr:nvSpPr>
        <cdr:cNvPr id="6" name="Rounded Rectangular Callout 5"/>
        <cdr:cNvSpPr/>
      </cdr:nvSpPr>
      <cdr:spPr bwMode="auto">
        <a:xfrm xmlns:a="http://schemas.openxmlformats.org/drawingml/2006/main" rot="16200000" flipH="1">
          <a:off x="7854968" y="1758076"/>
          <a:ext cx="1065880" cy="3818054"/>
        </a:xfrm>
        <a:prstGeom xmlns:a="http://schemas.openxmlformats.org/drawingml/2006/main" prst="wedgeRoundRectCallout">
          <a:avLst>
            <a:gd name="adj1" fmla="val -79415"/>
            <a:gd name="adj2" fmla="val -21116"/>
            <a:gd name="adj3" fmla="val 16667"/>
          </a:avLst>
        </a:prstGeom>
        <a:solidFill xmlns:a="http://schemas.openxmlformats.org/drawingml/2006/main">
          <a:schemeClr val="accent1">
            <a:alpha val="80000"/>
          </a:schemeClr>
        </a:solidFill>
        <a:ln xmlns:a="http://schemas.openxmlformats.org/drawingml/2006/main" w="9525" cap="flat" cmpd="sng" algn="ctr">
          <a:noFill/>
          <a:prstDash val="solid"/>
          <a:round/>
          <a:headEnd type="none" w="med" len="med"/>
          <a:tailEnd type="none" w="med" len="med"/>
        </a:ln>
        <a:effectLst xmlns:a="http://schemas.openxmlformats.org/drawingml/2006/main"/>
        <a:scene3d xmlns:a="http://schemas.openxmlformats.org/drawingml/2006/main">
          <a:camera prst="orthographicFront">
            <a:rot lat="0" lon="0" rev="0"/>
          </a:camera>
          <a:lightRig rig="threePt" dir="t"/>
        </a:scene3d>
        <a:sp3d xmlns:a="http://schemas.openxmlformats.org/drawingml/2006/main" prstMaterial="flat"/>
      </cdr:spPr>
      <cdr:txBody>
        <a:bodyPr xmlns:a="http://schemas.openxmlformats.org/drawingml/2006/main" wrap="square" lIns="91440" tIns="0" rIns="0" bIns="0" rtlCol="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en-US" sz="1400" b="0">
              <a:effectLst/>
              <a:latin typeface="+mn-lt"/>
              <a:ea typeface="+mn-ea"/>
              <a:cs typeface="+mn-cs"/>
            </a:rPr>
            <a:t>The percentage of materials collected for recycling, composting, and other beneficial uses such as burning for energy.</a:t>
          </a:r>
          <a:endParaRPr lang="en-US" sz="1100" b="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AC102"/>
  <sheetViews>
    <sheetView tabSelected="1" zoomScale="90" zoomScaleNormal="90" workbookViewId="0">
      <pane xSplit="3" ySplit="4" topLeftCell="V5" activePane="bottomRight" state="frozen"/>
      <selection pane="topRight" activeCell="C1" sqref="C1"/>
      <selection pane="bottomLeft" activeCell="A5" sqref="A5"/>
      <selection pane="bottomRight" activeCell="AD10" sqref="AD10"/>
    </sheetView>
  </sheetViews>
  <sheetFormatPr defaultColWidth="9" defaultRowHeight="12.75" x14ac:dyDescent="0.2"/>
  <cols>
    <col min="1" max="1" width="2.42578125" style="2" customWidth="1"/>
    <col min="2" max="2" width="25.7109375" style="2" customWidth="1"/>
    <col min="3" max="3" width="47.28515625" style="30" bestFit="1" customWidth="1"/>
    <col min="4" max="21" width="12.140625" style="2" bestFit="1" customWidth="1"/>
    <col min="22" max="22" width="12.140625" style="2" customWidth="1"/>
    <col min="23" max="24" width="12.140625" style="2" hidden="1" customWidth="1"/>
    <col min="25" max="26" width="12.140625" style="2" customWidth="1"/>
    <col min="27" max="16384" width="9" style="2"/>
  </cols>
  <sheetData>
    <row r="1" spans="1:26" ht="8.4499999999999993" customHeight="1" x14ac:dyDescent="0.2">
      <c r="A1" s="109" t="s">
        <v>241</v>
      </c>
    </row>
    <row r="2" spans="1:26" s="1" customFormat="1" ht="15.75" x14ac:dyDescent="0.25">
      <c r="B2" s="57" t="s">
        <v>104</v>
      </c>
    </row>
    <row r="3" spans="1:26" ht="7.9" customHeight="1" x14ac:dyDescent="0.2"/>
    <row r="4" spans="1:26" s="1" customFormat="1" ht="13.5" thickBot="1" x14ac:dyDescent="0.25">
      <c r="C4" s="31"/>
      <c r="D4" s="10">
        <v>2000</v>
      </c>
      <c r="E4" s="10">
        <v>2001</v>
      </c>
      <c r="F4" s="10">
        <v>2002</v>
      </c>
      <c r="G4" s="10">
        <v>2003</v>
      </c>
      <c r="H4" s="10">
        <v>2004</v>
      </c>
      <c r="I4" s="10">
        <v>2005</v>
      </c>
      <c r="J4" s="10">
        <v>2006</v>
      </c>
      <c r="K4" s="10">
        <v>2007</v>
      </c>
      <c r="L4" s="10">
        <v>2008</v>
      </c>
      <c r="M4" s="10">
        <v>2009</v>
      </c>
      <c r="N4" s="10">
        <v>2010</v>
      </c>
      <c r="O4" s="11">
        <v>2011</v>
      </c>
      <c r="P4" s="11">
        <v>2012</v>
      </c>
      <c r="Q4" s="11">
        <v>2013</v>
      </c>
      <c r="R4" s="11">
        <v>2014</v>
      </c>
      <c r="S4" s="11">
        <v>2015</v>
      </c>
      <c r="T4" s="11">
        <v>2016</v>
      </c>
      <c r="U4" s="11">
        <v>2017</v>
      </c>
      <c r="V4" s="11">
        <v>2018</v>
      </c>
      <c r="W4" s="11">
        <v>2019</v>
      </c>
      <c r="X4" s="11">
        <v>2020</v>
      </c>
      <c r="Y4" s="11">
        <v>2021</v>
      </c>
      <c r="Z4" s="11">
        <v>2022</v>
      </c>
    </row>
    <row r="5" spans="1:26" s="1" customFormat="1" x14ac:dyDescent="0.2">
      <c r="B5" s="68" t="s">
        <v>17</v>
      </c>
      <c r="C5" s="67" t="s">
        <v>12</v>
      </c>
      <c r="D5" s="21"/>
      <c r="E5" s="21"/>
      <c r="F5" s="21"/>
      <c r="G5" s="21"/>
      <c r="H5" s="21"/>
      <c r="I5" s="21"/>
      <c r="J5" s="21"/>
      <c r="K5" s="21"/>
      <c r="L5" s="21"/>
      <c r="M5" s="21"/>
      <c r="N5" s="21"/>
      <c r="O5" s="22"/>
      <c r="P5" s="22"/>
      <c r="Q5" s="22"/>
      <c r="R5" s="22"/>
      <c r="S5" s="22"/>
      <c r="T5" s="22"/>
      <c r="U5" s="22"/>
      <c r="V5" s="22"/>
      <c r="W5" s="22"/>
      <c r="X5" s="22"/>
      <c r="Y5" s="22"/>
      <c r="Z5" s="23"/>
    </row>
    <row r="6" spans="1:26" s="16" customFormat="1" x14ac:dyDescent="0.2">
      <c r="B6" s="69" t="s">
        <v>19</v>
      </c>
      <c r="C6" s="30" t="s">
        <v>23</v>
      </c>
      <c r="D6" s="89">
        <v>10000</v>
      </c>
      <c r="E6" s="89">
        <v>12333</v>
      </c>
      <c r="F6" s="89">
        <v>290</v>
      </c>
      <c r="G6" s="89">
        <v>10576.2</v>
      </c>
      <c r="H6" s="89">
        <v>40409</v>
      </c>
      <c r="I6" s="89">
        <v>14587.779910087585</v>
      </c>
      <c r="J6" s="89">
        <v>4008.260009765625</v>
      </c>
      <c r="K6" s="89">
        <v>2520.9899999999998</v>
      </c>
      <c r="L6" s="89">
        <v>0</v>
      </c>
      <c r="M6" s="89">
        <v>344</v>
      </c>
      <c r="N6" s="89">
        <v>20364</v>
      </c>
      <c r="O6" s="89">
        <v>0</v>
      </c>
      <c r="P6" s="89">
        <v>0</v>
      </c>
      <c r="Q6" s="89">
        <v>0</v>
      </c>
      <c r="R6" s="89">
        <v>0</v>
      </c>
      <c r="S6" s="89">
        <v>0</v>
      </c>
      <c r="T6" s="89">
        <v>0</v>
      </c>
      <c r="U6" s="89">
        <v>0</v>
      </c>
      <c r="V6" s="112">
        <v>0</v>
      </c>
      <c r="W6" s="89"/>
      <c r="X6" s="89"/>
      <c r="Y6" s="89">
        <v>0</v>
      </c>
      <c r="Z6" s="86">
        <v>0</v>
      </c>
    </row>
    <row r="7" spans="1:26" x14ac:dyDescent="0.2">
      <c r="B7" s="69" t="s">
        <v>19</v>
      </c>
      <c r="C7" s="30" t="s">
        <v>14</v>
      </c>
      <c r="D7" s="89">
        <v>893218</v>
      </c>
      <c r="E7" s="89">
        <v>1116870.96</v>
      </c>
      <c r="F7" s="89">
        <v>1451958.69</v>
      </c>
      <c r="G7" s="89">
        <v>1600288.21</v>
      </c>
      <c r="H7" s="89">
        <v>2002171</v>
      </c>
      <c r="I7" s="89">
        <v>1783418.3775436878</v>
      </c>
      <c r="J7" s="89">
        <v>2295277.6902919449</v>
      </c>
      <c r="K7" s="89">
        <v>2089972.4152999993</v>
      </c>
      <c r="L7" s="89">
        <v>1510051.15</v>
      </c>
      <c r="M7" s="89">
        <v>2186429.15</v>
      </c>
      <c r="N7" s="89">
        <v>2188200.0550000002</v>
      </c>
      <c r="O7" s="89">
        <v>2211888.54</v>
      </c>
      <c r="P7" s="89">
        <v>1887580.274</v>
      </c>
      <c r="Q7" s="89">
        <v>2196139.23</v>
      </c>
      <c r="R7" s="89">
        <v>2389936.48</v>
      </c>
      <c r="S7" s="89">
        <v>2109808.5700000003</v>
      </c>
      <c r="T7" s="89">
        <v>2387248.88</v>
      </c>
      <c r="U7" s="89">
        <v>2736135.8999999994</v>
      </c>
      <c r="V7" s="112">
        <v>2998371.946</v>
      </c>
      <c r="W7" s="89"/>
      <c r="X7" s="89"/>
      <c r="Y7" s="89">
        <v>2791859.54</v>
      </c>
      <c r="Z7" s="86">
        <v>2282530.9800000004</v>
      </c>
    </row>
    <row r="8" spans="1:26" s="16" customFormat="1" x14ac:dyDescent="0.2">
      <c r="B8" s="69" t="s">
        <v>19</v>
      </c>
      <c r="C8" s="30" t="s">
        <v>3</v>
      </c>
      <c r="D8" s="89">
        <v>97.1</v>
      </c>
      <c r="E8" s="89">
        <v>819.54</v>
      </c>
      <c r="F8" s="89">
        <v>148.49</v>
      </c>
      <c r="G8" s="89">
        <v>257.58</v>
      </c>
      <c r="H8" s="89">
        <v>304</v>
      </c>
      <c r="I8" s="89">
        <v>186.03000548481941</v>
      </c>
      <c r="J8" s="89">
        <v>896.59000468812883</v>
      </c>
      <c r="K8" s="89">
        <v>1193.3777000000002</v>
      </c>
      <c r="L8" s="89">
        <v>3297.03</v>
      </c>
      <c r="M8" s="89">
        <v>3316.69</v>
      </c>
      <c r="N8" s="89">
        <v>3867.29</v>
      </c>
      <c r="O8" s="89">
        <v>3652.55</v>
      </c>
      <c r="P8" s="89">
        <v>2420.31</v>
      </c>
      <c r="Q8" s="89">
        <v>4340.6099999999997</v>
      </c>
      <c r="R8" s="89">
        <v>7461.42</v>
      </c>
      <c r="S8" s="89">
        <v>2312.58</v>
      </c>
      <c r="T8" s="89">
        <v>2114.27</v>
      </c>
      <c r="U8" s="89">
        <v>3141.1</v>
      </c>
      <c r="V8" s="112">
        <v>2109.21</v>
      </c>
      <c r="W8" s="89"/>
      <c r="X8" s="89"/>
      <c r="Y8" s="89">
        <v>319</v>
      </c>
      <c r="Z8" s="86">
        <v>1975</v>
      </c>
    </row>
    <row r="9" spans="1:26" s="20" customFormat="1" x14ac:dyDescent="0.2">
      <c r="B9" s="69" t="s">
        <v>19</v>
      </c>
      <c r="C9" s="2" t="s">
        <v>75</v>
      </c>
      <c r="D9" s="89">
        <v>376683.5</v>
      </c>
      <c r="E9" s="89">
        <v>131921.78</v>
      </c>
      <c r="F9" s="89">
        <v>131700.57</v>
      </c>
      <c r="G9" s="89">
        <v>143844.31</v>
      </c>
      <c r="H9" s="89">
        <v>166325</v>
      </c>
      <c r="I9" s="89">
        <v>521086.70803022385</v>
      </c>
      <c r="J9" s="89">
        <v>300819.73170493898</v>
      </c>
      <c r="K9" s="89">
        <v>302089.27000000014</v>
      </c>
      <c r="L9" s="89">
        <v>339066.49000000011</v>
      </c>
      <c r="M9" s="89">
        <v>302835.87</v>
      </c>
      <c r="N9" s="89">
        <v>269602.59999999998</v>
      </c>
      <c r="O9" s="89">
        <v>271715.65000000002</v>
      </c>
      <c r="P9" s="89">
        <v>399208.63199999998</v>
      </c>
      <c r="Q9" s="89">
        <v>343522.92</v>
      </c>
      <c r="R9" s="89">
        <v>233607.65</v>
      </c>
      <c r="S9" s="89">
        <v>464402.83209411916</v>
      </c>
      <c r="T9" s="89">
        <v>437857.65</v>
      </c>
      <c r="U9" s="89">
        <v>434196.65000000008</v>
      </c>
      <c r="V9" s="112">
        <v>596109.77</v>
      </c>
      <c r="W9" s="89"/>
      <c r="X9" s="89"/>
      <c r="Y9" s="89">
        <v>713716.73</v>
      </c>
      <c r="Z9" s="86">
        <v>587819.17000000016</v>
      </c>
    </row>
    <row r="10" spans="1:26" x14ac:dyDescent="0.2">
      <c r="B10" s="69" t="s">
        <v>19</v>
      </c>
      <c r="C10" s="30" t="s">
        <v>0</v>
      </c>
      <c r="D10" s="89">
        <v>36692</v>
      </c>
      <c r="E10" s="89">
        <v>29883.48</v>
      </c>
      <c r="F10" s="89">
        <v>51089.03</v>
      </c>
      <c r="G10" s="89">
        <v>76945.67</v>
      </c>
      <c r="H10" s="89">
        <v>35648</v>
      </c>
      <c r="I10" s="89">
        <v>56618.139918208122</v>
      </c>
      <c r="J10" s="89">
        <v>62481.769966749474</v>
      </c>
      <c r="K10" s="89">
        <v>52767.267100000005</v>
      </c>
      <c r="L10" s="89">
        <v>86603.48</v>
      </c>
      <c r="M10" s="89">
        <v>38661.86</v>
      </c>
      <c r="N10" s="89">
        <v>30882.32</v>
      </c>
      <c r="O10" s="89">
        <v>39901.75</v>
      </c>
      <c r="P10" s="89">
        <v>86901.88</v>
      </c>
      <c r="Q10" s="89">
        <v>110227.95</v>
      </c>
      <c r="R10" s="89">
        <v>77364.2</v>
      </c>
      <c r="S10" s="89">
        <v>63736.969999999994</v>
      </c>
      <c r="T10" s="89">
        <v>69980.97</v>
      </c>
      <c r="U10" s="89">
        <v>56668.719999999994</v>
      </c>
      <c r="V10" s="112">
        <v>54980.449999999983</v>
      </c>
      <c r="W10" s="89"/>
      <c r="X10" s="89"/>
      <c r="Y10" s="89">
        <v>36700.040000000008</v>
      </c>
      <c r="Z10" s="86">
        <v>44771.61</v>
      </c>
    </row>
    <row r="11" spans="1:26" s="20" customFormat="1" x14ac:dyDescent="0.2">
      <c r="B11" s="69" t="s">
        <v>19</v>
      </c>
      <c r="C11" s="30" t="s">
        <v>8</v>
      </c>
      <c r="D11" s="89">
        <v>0</v>
      </c>
      <c r="E11" s="89">
        <v>151463.63</v>
      </c>
      <c r="F11" s="89">
        <v>286201.11</v>
      </c>
      <c r="G11" s="89">
        <v>160157.69</v>
      </c>
      <c r="H11" s="89">
        <v>268486</v>
      </c>
      <c r="I11" s="89">
        <v>475015.07955598802</v>
      </c>
      <c r="J11" s="89">
        <v>258562.60011601448</v>
      </c>
      <c r="K11" s="89">
        <v>168007.33390000003</v>
      </c>
      <c r="L11" s="89">
        <v>169427.82</v>
      </c>
      <c r="M11" s="89">
        <v>162938.96</v>
      </c>
      <c r="N11" s="89">
        <v>150287.35999999999</v>
      </c>
      <c r="O11" s="89">
        <v>160085.59</v>
      </c>
      <c r="P11" s="89">
        <v>171961.58</v>
      </c>
      <c r="Q11" s="89">
        <v>144764.91</v>
      </c>
      <c r="R11" s="89">
        <v>164662.13</v>
      </c>
      <c r="S11" s="89">
        <v>253153.11000000007</v>
      </c>
      <c r="T11" s="89">
        <v>189859.41999999998</v>
      </c>
      <c r="U11" s="89">
        <v>118539.51000000001</v>
      </c>
      <c r="V11" s="112">
        <v>168547.04</v>
      </c>
      <c r="W11" s="89"/>
      <c r="X11" s="89"/>
      <c r="Y11" s="89">
        <v>283714.70999999996</v>
      </c>
      <c r="Z11" s="86">
        <v>202204.44</v>
      </c>
    </row>
    <row r="12" spans="1:26" s="16" customFormat="1" x14ac:dyDescent="0.2">
      <c r="B12" s="69" t="s">
        <v>19</v>
      </c>
      <c r="C12" s="30" t="s">
        <v>6</v>
      </c>
      <c r="D12" s="89">
        <v>14412</v>
      </c>
      <c r="E12" s="89">
        <v>11726.71</v>
      </c>
      <c r="F12" s="89">
        <v>13825</v>
      </c>
      <c r="G12" s="89">
        <v>6493</v>
      </c>
      <c r="H12" s="89">
        <v>8186</v>
      </c>
      <c r="I12" s="89">
        <v>2353</v>
      </c>
      <c r="J12" s="89">
        <v>9119.5299072265625</v>
      </c>
      <c r="K12" s="89">
        <v>10187.83</v>
      </c>
      <c r="L12" s="89">
        <v>10205.32</v>
      </c>
      <c r="M12" s="89">
        <v>10872.13</v>
      </c>
      <c r="N12" s="89">
        <v>14518.365</v>
      </c>
      <c r="O12" s="89">
        <v>15469.73</v>
      </c>
      <c r="P12" s="89">
        <v>13021.107</v>
      </c>
      <c r="Q12" s="89">
        <v>10898.91</v>
      </c>
      <c r="R12" s="89">
        <v>8272.23</v>
      </c>
      <c r="S12" s="89">
        <v>15612.02</v>
      </c>
      <c r="T12" s="89">
        <v>13108</v>
      </c>
      <c r="U12" s="89">
        <v>29807.599999999999</v>
      </c>
      <c r="V12" s="112">
        <v>11817.1</v>
      </c>
      <c r="W12" s="89"/>
      <c r="X12" s="89"/>
      <c r="Y12" s="89">
        <v>15872</v>
      </c>
      <c r="Z12" s="86">
        <v>14447.2</v>
      </c>
    </row>
    <row r="13" spans="1:26" x14ac:dyDescent="0.2">
      <c r="B13" s="69" t="s">
        <v>19</v>
      </c>
      <c r="C13" s="30" t="s">
        <v>54</v>
      </c>
      <c r="D13" s="89">
        <v>215211.3</v>
      </c>
      <c r="E13" s="89">
        <v>538242.31999999995</v>
      </c>
      <c r="F13" s="89">
        <v>394261.28</v>
      </c>
      <c r="G13" s="89">
        <v>208920.22</v>
      </c>
      <c r="H13" s="89">
        <v>257495</v>
      </c>
      <c r="I13" s="89">
        <v>351855.30905842781</v>
      </c>
      <c r="J13" s="89">
        <v>289611.59192636795</v>
      </c>
      <c r="K13" s="89">
        <v>228145.66200000004</v>
      </c>
      <c r="L13" s="89">
        <v>381865.69219999999</v>
      </c>
      <c r="M13" s="89">
        <v>200979.78</v>
      </c>
      <c r="N13" s="89">
        <v>347137.46</v>
      </c>
      <c r="O13" s="89">
        <v>178403.44</v>
      </c>
      <c r="P13" s="89">
        <v>244907.19</v>
      </c>
      <c r="Q13" s="89">
        <v>167002.29999999999</v>
      </c>
      <c r="R13" s="89">
        <v>198487.14500000002</v>
      </c>
      <c r="S13" s="89">
        <v>187275.37000000002</v>
      </c>
      <c r="T13" s="89">
        <v>195625.93800000005</v>
      </c>
      <c r="U13" s="89">
        <v>210731.90000000005</v>
      </c>
      <c r="V13" s="112">
        <v>169607.32264953703</v>
      </c>
      <c r="W13" s="89"/>
      <c r="X13" s="89"/>
      <c r="Y13" s="89">
        <v>205447.61</v>
      </c>
      <c r="Z13" s="86">
        <v>271798.245</v>
      </c>
    </row>
    <row r="14" spans="1:26" x14ac:dyDescent="0.2">
      <c r="B14" s="69" t="s">
        <v>20</v>
      </c>
      <c r="C14" s="30" t="s">
        <v>44</v>
      </c>
      <c r="D14" s="89">
        <v>84061.93</v>
      </c>
      <c r="E14" s="89">
        <v>81632.350000000006</v>
      </c>
      <c r="F14" s="89">
        <v>64936.639999999999</v>
      </c>
      <c r="G14" s="89">
        <v>74126.149999999994</v>
      </c>
      <c r="H14" s="89">
        <v>81405</v>
      </c>
      <c r="I14" s="89">
        <v>82773.199784770608</v>
      </c>
      <c r="J14" s="89">
        <v>90991.759997513145</v>
      </c>
      <c r="K14" s="89">
        <v>96934.074999999983</v>
      </c>
      <c r="L14" s="89">
        <v>94076.785999999993</v>
      </c>
      <c r="M14" s="89">
        <v>100822.87</v>
      </c>
      <c r="N14" s="89">
        <v>113127.79</v>
      </c>
      <c r="O14" s="89">
        <v>116110.94</v>
      </c>
      <c r="P14" s="89">
        <v>141279.77900000001</v>
      </c>
      <c r="Q14" s="89">
        <v>103913.25</v>
      </c>
      <c r="R14" s="89">
        <v>112212.45</v>
      </c>
      <c r="S14" s="89">
        <v>116313.01161698293</v>
      </c>
      <c r="T14" s="89">
        <v>145403.98417062886</v>
      </c>
      <c r="U14" s="89">
        <v>146064.98111466627</v>
      </c>
      <c r="V14" s="112">
        <v>84163.471852456816</v>
      </c>
      <c r="W14" s="89"/>
      <c r="X14" s="89"/>
      <c r="Y14" s="89">
        <v>76889.769620000006</v>
      </c>
      <c r="Z14" s="86">
        <v>107650.90185725561</v>
      </c>
    </row>
    <row r="15" spans="1:26" s="16" customFormat="1" x14ac:dyDescent="0.2">
      <c r="B15" s="69" t="s">
        <v>20</v>
      </c>
      <c r="C15" s="30" t="s">
        <v>72</v>
      </c>
      <c r="D15" s="89">
        <v>0</v>
      </c>
      <c r="E15" s="89">
        <v>0</v>
      </c>
      <c r="F15" s="89">
        <v>2364</v>
      </c>
      <c r="G15" s="89">
        <v>2976</v>
      </c>
      <c r="H15" s="89">
        <v>2253</v>
      </c>
      <c r="I15" s="89">
        <v>4869.9899415969849</v>
      </c>
      <c r="J15" s="89">
        <v>5404.2800006866455</v>
      </c>
      <c r="K15" s="89">
        <v>1706</v>
      </c>
      <c r="L15" s="89">
        <v>0</v>
      </c>
      <c r="M15" s="89">
        <v>1750</v>
      </c>
      <c r="N15" s="89">
        <v>2389.81</v>
      </c>
      <c r="O15" s="89">
        <v>1229.53</v>
      </c>
      <c r="P15" s="89">
        <v>3661.06</v>
      </c>
      <c r="Q15" s="89">
        <v>1604.81</v>
      </c>
      <c r="R15" s="89">
        <v>64.59</v>
      </c>
      <c r="S15" s="89">
        <v>0</v>
      </c>
      <c r="T15" s="89">
        <v>0</v>
      </c>
      <c r="U15" s="89">
        <v>0</v>
      </c>
      <c r="V15" s="112">
        <v>9388.14</v>
      </c>
      <c r="W15" s="89"/>
      <c r="X15" s="89"/>
      <c r="Y15" s="89">
        <v>0</v>
      </c>
      <c r="Z15" s="86">
        <v>0</v>
      </c>
    </row>
    <row r="16" spans="1:26" x14ac:dyDescent="0.2">
      <c r="B16" s="69" t="s">
        <v>48</v>
      </c>
      <c r="C16" s="30" t="s">
        <v>25</v>
      </c>
      <c r="D16" s="89">
        <v>17944.5</v>
      </c>
      <c r="E16" s="89">
        <v>12539.76</v>
      </c>
      <c r="F16" s="89">
        <v>12718.21</v>
      </c>
      <c r="G16" s="89">
        <v>17608.27</v>
      </c>
      <c r="H16" s="89">
        <v>16010</v>
      </c>
      <c r="I16" s="89">
        <v>15440.999981977046</v>
      </c>
      <c r="J16" s="89">
        <v>14951.100022045075</v>
      </c>
      <c r="K16" s="89">
        <v>14004.678600000001</v>
      </c>
      <c r="L16" s="89">
        <v>12842.031500000001</v>
      </c>
      <c r="M16" s="89">
        <v>21097.57</v>
      </c>
      <c r="N16" s="89">
        <v>13654.665000000001</v>
      </c>
      <c r="O16" s="89">
        <v>13115.38</v>
      </c>
      <c r="P16" s="89">
        <v>13634.529</v>
      </c>
      <c r="Q16" s="89">
        <v>16679.38</v>
      </c>
      <c r="R16" s="89">
        <v>14309.29</v>
      </c>
      <c r="S16" s="89">
        <v>11463.413172446535</v>
      </c>
      <c r="T16" s="89">
        <v>10888.95</v>
      </c>
      <c r="U16" s="89">
        <v>11069.827225622921</v>
      </c>
      <c r="V16" s="112">
        <v>13328.831613974819</v>
      </c>
      <c r="W16" s="89"/>
      <c r="X16" s="89"/>
      <c r="Y16" s="89">
        <v>14939.803216243252</v>
      </c>
      <c r="Z16" s="86">
        <v>14671.32418789286</v>
      </c>
    </row>
    <row r="17" spans="2:26" s="16" customFormat="1" x14ac:dyDescent="0.2">
      <c r="B17" s="69" t="s">
        <v>48</v>
      </c>
      <c r="C17" s="30" t="s">
        <v>26</v>
      </c>
      <c r="D17" s="89">
        <v>35427</v>
      </c>
      <c r="E17" s="89">
        <v>39180.28</v>
      </c>
      <c r="F17" s="89">
        <v>43832.59</v>
      </c>
      <c r="G17" s="89">
        <v>53353.26</v>
      </c>
      <c r="H17" s="89">
        <v>56920</v>
      </c>
      <c r="I17" s="89">
        <v>47301.677887739614</v>
      </c>
      <c r="J17" s="89">
        <v>49796.420258583501</v>
      </c>
      <c r="K17" s="89">
        <v>44666.549999999996</v>
      </c>
      <c r="L17" s="89">
        <v>43400.62</v>
      </c>
      <c r="M17" s="89">
        <v>39776.67</v>
      </c>
      <c r="N17" s="89">
        <v>48881.482499999998</v>
      </c>
      <c r="O17" s="89">
        <v>44174</v>
      </c>
      <c r="P17" s="89">
        <v>54578.343000000001</v>
      </c>
      <c r="Q17" s="89">
        <v>31192.080000000002</v>
      </c>
      <c r="R17" s="89">
        <v>37881.550000000003</v>
      </c>
      <c r="S17" s="89">
        <v>27370.930000000004</v>
      </c>
      <c r="T17" s="89">
        <v>58427.45</v>
      </c>
      <c r="U17" s="89">
        <v>54130.570999999996</v>
      </c>
      <c r="V17" s="112">
        <v>80006.010000000009</v>
      </c>
      <c r="W17" s="89"/>
      <c r="X17" s="89"/>
      <c r="Y17" s="89">
        <v>64337.290000000008</v>
      </c>
      <c r="Z17" s="86">
        <v>68518.605800000005</v>
      </c>
    </row>
    <row r="18" spans="2:26" x14ac:dyDescent="0.2">
      <c r="B18" s="69" t="s">
        <v>48</v>
      </c>
      <c r="C18" s="30" t="s">
        <v>27</v>
      </c>
      <c r="D18" s="89">
        <v>357220</v>
      </c>
      <c r="E18" s="89">
        <v>254104.19</v>
      </c>
      <c r="F18" s="89">
        <v>432778.25</v>
      </c>
      <c r="G18" s="89">
        <v>709880.61</v>
      </c>
      <c r="H18" s="89">
        <v>866641</v>
      </c>
      <c r="I18" s="89">
        <v>974535.32616748998</v>
      </c>
      <c r="J18" s="89">
        <v>1048885.2502383869</v>
      </c>
      <c r="K18" s="89">
        <v>1009825.5920000002</v>
      </c>
      <c r="L18" s="89">
        <v>1013551.6200000002</v>
      </c>
      <c r="M18" s="89">
        <v>998720.95</v>
      </c>
      <c r="N18" s="89">
        <v>1332254.4545</v>
      </c>
      <c r="O18" s="89">
        <v>1458201.09</v>
      </c>
      <c r="P18" s="89">
        <v>1370691.6470000001</v>
      </c>
      <c r="Q18" s="89">
        <v>1173096.94</v>
      </c>
      <c r="R18" s="89">
        <v>1069075.2839999998</v>
      </c>
      <c r="S18" s="89">
        <v>1153167.2850000001</v>
      </c>
      <c r="T18" s="89">
        <v>1108243.8999999999</v>
      </c>
      <c r="U18" s="89">
        <v>1336616.3472202006</v>
      </c>
      <c r="V18" s="112">
        <v>1324096.6396068742</v>
      </c>
      <c r="W18" s="89"/>
      <c r="X18" s="89"/>
      <c r="Y18" s="89">
        <v>1359813.1999999997</v>
      </c>
      <c r="Z18" s="86">
        <v>1132663.699856</v>
      </c>
    </row>
    <row r="19" spans="2:26" x14ac:dyDescent="0.2">
      <c r="B19" s="69" t="s">
        <v>48</v>
      </c>
      <c r="C19" s="30" t="s">
        <v>43</v>
      </c>
      <c r="D19" s="89">
        <v>51273.4</v>
      </c>
      <c r="E19" s="89">
        <v>41615.18</v>
      </c>
      <c r="F19" s="89">
        <v>61240.23</v>
      </c>
      <c r="G19" s="89">
        <v>114604.4</v>
      </c>
      <c r="H19" s="89">
        <v>99317</v>
      </c>
      <c r="I19" s="89">
        <v>122490.33112679981</v>
      </c>
      <c r="J19" s="89">
        <v>135976.49980245344</v>
      </c>
      <c r="K19" s="89">
        <v>115718.27339999998</v>
      </c>
      <c r="L19" s="89">
        <v>94340.108999999997</v>
      </c>
      <c r="M19" s="89">
        <v>142930.96</v>
      </c>
      <c r="N19" s="89">
        <v>123679.99450000003</v>
      </c>
      <c r="O19" s="89">
        <v>146163.64000000001</v>
      </c>
      <c r="P19" s="89">
        <v>121710.988</v>
      </c>
      <c r="Q19" s="89">
        <v>175791.9</v>
      </c>
      <c r="R19" s="89">
        <v>195149.99832067822</v>
      </c>
      <c r="S19" s="89">
        <v>150563.92272012061</v>
      </c>
      <c r="T19" s="89">
        <v>100481.25</v>
      </c>
      <c r="U19" s="89">
        <v>127197.78612663454</v>
      </c>
      <c r="V19" s="112">
        <v>143033.05364541212</v>
      </c>
      <c r="W19" s="89"/>
      <c r="X19" s="89"/>
      <c r="Y19" s="89">
        <v>107708.65373622255</v>
      </c>
      <c r="Z19" s="86">
        <v>88870.409246724128</v>
      </c>
    </row>
    <row r="20" spans="2:26" x14ac:dyDescent="0.2">
      <c r="B20" s="69" t="s">
        <v>48</v>
      </c>
      <c r="C20" s="30" t="s">
        <v>28</v>
      </c>
      <c r="D20" s="89">
        <v>22631.93</v>
      </c>
      <c r="E20" s="89">
        <v>11483.1</v>
      </c>
      <c r="F20" s="89">
        <v>9417.1299999999992</v>
      </c>
      <c r="G20" s="89">
        <v>9491.6200000000008</v>
      </c>
      <c r="H20" s="89">
        <v>10082</v>
      </c>
      <c r="I20" s="89">
        <v>12132.880030661821</v>
      </c>
      <c r="J20" s="89">
        <v>13936.079973092377</v>
      </c>
      <c r="K20" s="89">
        <v>22315.047000000002</v>
      </c>
      <c r="L20" s="89">
        <v>10525.92</v>
      </c>
      <c r="M20" s="89">
        <v>17293.11</v>
      </c>
      <c r="N20" s="89">
        <v>15059.514999999999</v>
      </c>
      <c r="O20" s="89">
        <v>17975.36</v>
      </c>
      <c r="P20" s="89">
        <v>15305.54</v>
      </c>
      <c r="Q20" s="89">
        <v>19552.34</v>
      </c>
      <c r="R20" s="89">
        <v>17325.669999999998</v>
      </c>
      <c r="S20" s="89">
        <v>14613.673250382713</v>
      </c>
      <c r="T20" s="89">
        <v>13798.11</v>
      </c>
      <c r="U20" s="89">
        <v>14234.870214718634</v>
      </c>
      <c r="V20" s="112">
        <v>14953.959254765341</v>
      </c>
      <c r="W20" s="89"/>
      <c r="X20" s="89"/>
      <c r="Y20" s="89">
        <v>12304.642148931174</v>
      </c>
      <c r="Z20" s="86">
        <v>13640.151013188055</v>
      </c>
    </row>
    <row r="21" spans="2:26" x14ac:dyDescent="0.2">
      <c r="B21" s="69" t="s">
        <v>18</v>
      </c>
      <c r="C21" s="30" t="s">
        <v>29</v>
      </c>
      <c r="D21" s="89">
        <v>2475</v>
      </c>
      <c r="E21" s="89">
        <v>4157.13</v>
      </c>
      <c r="F21" s="89">
        <v>4505.6499999999996</v>
      </c>
      <c r="G21" s="89">
        <v>4721.58</v>
      </c>
      <c r="H21" s="89">
        <v>8050</v>
      </c>
      <c r="I21" s="89">
        <v>8767.4264229089022</v>
      </c>
      <c r="J21" s="89">
        <v>7506.510008526966</v>
      </c>
      <c r="K21" s="89">
        <v>7055.1</v>
      </c>
      <c r="L21" s="89">
        <v>6586.01</v>
      </c>
      <c r="M21" s="89">
        <v>5193.9799999999996</v>
      </c>
      <c r="N21" s="89">
        <v>4782.749499999999</v>
      </c>
      <c r="O21" s="89">
        <v>4871.6899999999996</v>
      </c>
      <c r="P21" s="89">
        <v>6797.07</v>
      </c>
      <c r="Q21" s="89">
        <v>4803.5</v>
      </c>
      <c r="R21" s="89">
        <v>4954.58</v>
      </c>
      <c r="S21" s="89">
        <v>4389.78</v>
      </c>
      <c r="T21" s="89">
        <v>3846.190000000001</v>
      </c>
      <c r="U21" s="89">
        <v>3346.53</v>
      </c>
      <c r="V21" s="112">
        <v>3632.7100000000005</v>
      </c>
      <c r="W21" s="89"/>
      <c r="X21" s="89"/>
      <c r="Y21" s="89">
        <v>5134.7800000000007</v>
      </c>
      <c r="Z21" s="86">
        <v>4218.46</v>
      </c>
    </row>
    <row r="22" spans="2:26" s="16" customFormat="1" x14ac:dyDescent="0.2">
      <c r="B22" s="69" t="s">
        <v>18</v>
      </c>
      <c r="C22" s="30" t="s">
        <v>45</v>
      </c>
      <c r="D22" s="89">
        <v>10756.6</v>
      </c>
      <c r="E22" s="89">
        <v>16296.75</v>
      </c>
      <c r="F22" s="89">
        <v>12158.08</v>
      </c>
      <c r="G22" s="89">
        <v>18780.43</v>
      </c>
      <c r="H22" s="89">
        <v>25518</v>
      </c>
      <c r="I22" s="89">
        <v>28902.955148814246</v>
      </c>
      <c r="J22" s="89">
        <v>25414.460041061044</v>
      </c>
      <c r="K22" s="89">
        <v>25734.2703</v>
      </c>
      <c r="L22" s="89">
        <v>25219.03</v>
      </c>
      <c r="M22" s="89">
        <v>21492.53</v>
      </c>
      <c r="N22" s="89">
        <v>26986.221000000001</v>
      </c>
      <c r="O22" s="89">
        <v>27296.7</v>
      </c>
      <c r="P22" s="89">
        <v>23355.955000000002</v>
      </c>
      <c r="Q22" s="89">
        <v>21744.46</v>
      </c>
      <c r="R22" s="89">
        <v>19198.419999999998</v>
      </c>
      <c r="S22" s="89">
        <v>17580.940299999998</v>
      </c>
      <c r="T22" s="89">
        <v>19884.169999999998</v>
      </c>
      <c r="U22" s="89">
        <v>17127.379999999997</v>
      </c>
      <c r="V22" s="112">
        <v>15960.190000000002</v>
      </c>
      <c r="W22" s="89"/>
      <c r="X22" s="89"/>
      <c r="Y22" s="89">
        <v>16406.345000000001</v>
      </c>
      <c r="Z22" s="86">
        <v>11123.05</v>
      </c>
    </row>
    <row r="23" spans="2:26" x14ac:dyDescent="0.2">
      <c r="B23" s="69" t="s">
        <v>18</v>
      </c>
      <c r="C23" s="30" t="s">
        <v>7</v>
      </c>
      <c r="D23" s="89">
        <v>255</v>
      </c>
      <c r="E23" s="89">
        <v>317.19</v>
      </c>
      <c r="F23" s="89">
        <v>1414.37</v>
      </c>
      <c r="G23" s="89">
        <v>3587.3</v>
      </c>
      <c r="H23" s="89">
        <v>6568</v>
      </c>
      <c r="I23" s="89">
        <v>8534.0309029482287</v>
      </c>
      <c r="J23" s="89">
        <v>11385.960154581815</v>
      </c>
      <c r="K23" s="89">
        <v>12325.329800000009</v>
      </c>
      <c r="L23" s="89">
        <v>17264.68</v>
      </c>
      <c r="M23" s="89">
        <v>22190.31</v>
      </c>
      <c r="N23" s="89">
        <v>25569.298000000006</v>
      </c>
      <c r="O23" s="89">
        <v>31147.63</v>
      </c>
      <c r="P23" s="89">
        <v>38236.506999999998</v>
      </c>
      <c r="Q23" s="89">
        <v>32694.080000000002</v>
      </c>
      <c r="R23" s="89">
        <v>37067.99</v>
      </c>
      <c r="S23" s="89">
        <v>33174.67</v>
      </c>
      <c r="T23" s="89">
        <v>24104.77</v>
      </c>
      <c r="U23" s="89">
        <v>19964.96</v>
      </c>
      <c r="V23" s="112">
        <v>17813.120000000003</v>
      </c>
      <c r="W23" s="89"/>
      <c r="X23" s="89"/>
      <c r="Y23" s="89">
        <v>10404.259999999998</v>
      </c>
      <c r="Z23" s="86">
        <v>11369.517</v>
      </c>
    </row>
    <row r="24" spans="2:26" x14ac:dyDescent="0.2">
      <c r="B24" s="69" t="s">
        <v>18</v>
      </c>
      <c r="C24" s="30" t="s">
        <v>46</v>
      </c>
      <c r="D24" s="89">
        <v>39</v>
      </c>
      <c r="E24" s="89">
        <v>38.08</v>
      </c>
      <c r="F24" s="89">
        <v>332.51</v>
      </c>
      <c r="G24" s="89">
        <v>142.72999999999999</v>
      </c>
      <c r="H24" s="89">
        <v>149</v>
      </c>
      <c r="I24" s="89">
        <v>294.08299901708961</v>
      </c>
      <c r="J24" s="89">
        <v>1349.5199844483286</v>
      </c>
      <c r="K24" s="89">
        <v>1755.0988333333325</v>
      </c>
      <c r="L24" s="89">
        <v>2270.0720000000001</v>
      </c>
      <c r="M24" s="89">
        <v>534.54</v>
      </c>
      <c r="N24" s="89">
        <v>458.37</v>
      </c>
      <c r="O24" s="89">
        <v>464.84</v>
      </c>
      <c r="P24" s="89">
        <v>402.31</v>
      </c>
      <c r="Q24" s="89">
        <v>818.82</v>
      </c>
      <c r="R24" s="89">
        <v>472.59999999999997</v>
      </c>
      <c r="S24" s="89">
        <v>702.39</v>
      </c>
      <c r="T24" s="89">
        <v>918.27000000000021</v>
      </c>
      <c r="U24" s="89">
        <v>693.32000000000016</v>
      </c>
      <c r="V24" s="112">
        <v>907.11999999999978</v>
      </c>
      <c r="W24" s="89"/>
      <c r="X24" s="89"/>
      <c r="Y24" s="89">
        <v>1130.04</v>
      </c>
      <c r="Z24" s="86">
        <v>405.67500000000007</v>
      </c>
    </row>
    <row r="25" spans="2:26" x14ac:dyDescent="0.2">
      <c r="B25" s="69" t="s">
        <v>18</v>
      </c>
      <c r="C25" s="30" t="s">
        <v>175</v>
      </c>
      <c r="D25" s="89">
        <v>160</v>
      </c>
      <c r="E25" s="89">
        <v>345.98</v>
      </c>
      <c r="F25" s="89">
        <v>417</v>
      </c>
      <c r="G25" s="89">
        <v>772.27</v>
      </c>
      <c r="H25" s="89">
        <v>732</v>
      </c>
      <c r="I25" s="89">
        <v>728.54001605138183</v>
      </c>
      <c r="J25" s="89">
        <v>1062.76</v>
      </c>
      <c r="K25" s="89">
        <v>978.53525300000013</v>
      </c>
      <c r="L25" s="89">
        <v>1599.6039999999998</v>
      </c>
      <c r="M25" s="89">
        <v>1229</v>
      </c>
      <c r="N25" s="89">
        <v>1086.5119999999999</v>
      </c>
      <c r="O25" s="89">
        <v>1096.03</v>
      </c>
      <c r="P25" s="89">
        <v>1398.3</v>
      </c>
      <c r="Q25" s="89">
        <v>1286.33</v>
      </c>
      <c r="R25" s="89">
        <v>1553.37</v>
      </c>
      <c r="S25" s="89">
        <v>1258.7928999999999</v>
      </c>
      <c r="T25" s="89">
        <v>1691.942</v>
      </c>
      <c r="U25" s="89">
        <v>1794.2599999999995</v>
      </c>
      <c r="V25" s="112">
        <v>988.95</v>
      </c>
      <c r="W25" s="89"/>
      <c r="X25" s="89"/>
      <c r="Y25" s="89">
        <v>894.11000000000013</v>
      </c>
      <c r="Z25" s="86">
        <v>757.91300000000001</v>
      </c>
    </row>
    <row r="26" spans="2:26" x14ac:dyDescent="0.2">
      <c r="B26" s="69" t="s">
        <v>18</v>
      </c>
      <c r="C26" s="30" t="s">
        <v>2</v>
      </c>
      <c r="D26" s="89">
        <v>835</v>
      </c>
      <c r="E26" s="89">
        <v>5942.02</v>
      </c>
      <c r="F26" s="89">
        <v>5022.88</v>
      </c>
      <c r="G26" s="89">
        <v>1749.65</v>
      </c>
      <c r="H26" s="89">
        <v>3719</v>
      </c>
      <c r="I26" s="89">
        <v>2720.8600207660347</v>
      </c>
      <c r="J26" s="89">
        <v>2188.9800149835646</v>
      </c>
      <c r="K26" s="89">
        <v>2634.82</v>
      </c>
      <c r="L26" s="89">
        <v>2639.4700000000003</v>
      </c>
      <c r="M26" s="89">
        <v>2534.69</v>
      </c>
      <c r="N26" s="89">
        <v>1774.7660000000001</v>
      </c>
      <c r="O26" s="89">
        <v>2228.8000000000002</v>
      </c>
      <c r="P26" s="89">
        <v>3544.46</v>
      </c>
      <c r="Q26" s="89">
        <v>1781.32</v>
      </c>
      <c r="R26" s="89">
        <v>2358.8000000000002</v>
      </c>
      <c r="S26" s="89">
        <v>1082.6404999999997</v>
      </c>
      <c r="T26" s="89">
        <v>6657.6554500000002</v>
      </c>
      <c r="U26" s="89">
        <v>1534.6499999999996</v>
      </c>
      <c r="V26" s="112">
        <v>2637.5499999999997</v>
      </c>
      <c r="W26" s="89"/>
      <c r="X26" s="89"/>
      <c r="Y26" s="89">
        <v>1519.3699999999994</v>
      </c>
      <c r="Z26" s="86">
        <v>1251.49</v>
      </c>
    </row>
    <row r="27" spans="2:26" x14ac:dyDescent="0.2">
      <c r="B27" s="69" t="s">
        <v>18</v>
      </c>
      <c r="C27" s="30" t="s">
        <v>47</v>
      </c>
      <c r="D27" s="89">
        <v>738</v>
      </c>
      <c r="E27" s="89">
        <v>0</v>
      </c>
      <c r="F27" s="89">
        <v>5</v>
      </c>
      <c r="G27" s="89">
        <v>30</v>
      </c>
      <c r="H27" s="89">
        <v>29</v>
      </c>
      <c r="I27" s="89">
        <v>0</v>
      </c>
      <c r="J27" s="89">
        <v>0</v>
      </c>
      <c r="K27" s="89">
        <v>0</v>
      </c>
      <c r="L27" s="89">
        <v>0</v>
      </c>
      <c r="M27" s="89">
        <v>99.19</v>
      </c>
      <c r="N27" s="89">
        <v>1</v>
      </c>
      <c r="O27" s="89">
        <v>1619.68</v>
      </c>
      <c r="P27" s="89">
        <v>1582.41</v>
      </c>
      <c r="Q27" s="89">
        <v>1805.77</v>
      </c>
      <c r="R27" s="89">
        <v>1970.1</v>
      </c>
      <c r="S27" s="89">
        <v>2214.0501999999997</v>
      </c>
      <c r="T27" s="89">
        <v>625.23000000000013</v>
      </c>
      <c r="U27" s="89">
        <v>681.7399999999999</v>
      </c>
      <c r="V27" s="112">
        <v>85.969999999999985</v>
      </c>
      <c r="W27" s="89"/>
      <c r="X27" s="89"/>
      <c r="Y27" s="89">
        <v>492.97000000000008</v>
      </c>
      <c r="Z27" s="86">
        <v>189.86</v>
      </c>
    </row>
    <row r="28" spans="2:26" x14ac:dyDescent="0.2">
      <c r="B28" s="69" t="s">
        <v>18</v>
      </c>
      <c r="C28" s="30" t="s">
        <v>177</v>
      </c>
      <c r="D28" s="89"/>
      <c r="E28" s="89"/>
      <c r="F28" s="89"/>
      <c r="G28" s="89"/>
      <c r="H28" s="89"/>
      <c r="I28" s="89"/>
      <c r="J28" s="89"/>
      <c r="K28" s="89"/>
      <c r="L28" s="89"/>
      <c r="M28" s="89"/>
      <c r="N28" s="89"/>
      <c r="O28" s="89"/>
      <c r="P28" s="89"/>
      <c r="Q28" s="89"/>
      <c r="R28" s="89"/>
      <c r="S28" s="89"/>
      <c r="T28" s="89"/>
      <c r="U28" s="89">
        <v>51.22</v>
      </c>
      <c r="V28" s="112">
        <v>265.95</v>
      </c>
      <c r="W28" s="89"/>
      <c r="X28" s="89"/>
      <c r="Y28" s="89">
        <v>5837.5089999999982</v>
      </c>
      <c r="Z28" s="86">
        <v>6394.3374698048192</v>
      </c>
    </row>
    <row r="29" spans="2:26" s="16" customFormat="1" x14ac:dyDescent="0.2">
      <c r="B29" s="69" t="s">
        <v>18</v>
      </c>
      <c r="C29" s="30" t="s">
        <v>1</v>
      </c>
      <c r="D29" s="89">
        <v>8353</v>
      </c>
      <c r="E29" s="89">
        <v>38288.32</v>
      </c>
      <c r="F29" s="89">
        <v>43367.24</v>
      </c>
      <c r="G29" s="89">
        <v>56343.91</v>
      </c>
      <c r="H29" s="89">
        <v>104211</v>
      </c>
      <c r="I29" s="89">
        <v>111692.09281379683</v>
      </c>
      <c r="J29" s="89">
        <v>87304.120356306434</v>
      </c>
      <c r="K29" s="89">
        <v>86173.590000000026</v>
      </c>
      <c r="L29" s="89">
        <v>78442.802200000006</v>
      </c>
      <c r="M29" s="89">
        <v>110037.5</v>
      </c>
      <c r="N29" s="89">
        <v>71724.988000000012</v>
      </c>
      <c r="O29" s="90">
        <v>76611.66</v>
      </c>
      <c r="P29" s="89">
        <v>74113.52</v>
      </c>
      <c r="Q29" s="89">
        <v>54936.26</v>
      </c>
      <c r="R29" s="89">
        <v>69456.72</v>
      </c>
      <c r="S29" s="89">
        <v>82462.20808595432</v>
      </c>
      <c r="T29" s="89">
        <v>71809.490000000005</v>
      </c>
      <c r="U29" s="89">
        <v>59557.440000000002</v>
      </c>
      <c r="V29" s="112">
        <v>56285.469999999994</v>
      </c>
      <c r="W29" s="89"/>
      <c r="X29" s="89"/>
      <c r="Y29" s="89">
        <v>32162.689999999995</v>
      </c>
      <c r="Z29" s="86">
        <v>16846.240000000005</v>
      </c>
    </row>
    <row r="30" spans="2:26" s="16" customFormat="1" x14ac:dyDescent="0.2">
      <c r="B30" s="69" t="s">
        <v>21</v>
      </c>
      <c r="C30" s="30" t="s">
        <v>42</v>
      </c>
      <c r="D30" s="91">
        <v>0</v>
      </c>
      <c r="E30" s="91">
        <v>0</v>
      </c>
      <c r="F30" s="91">
        <v>0</v>
      </c>
      <c r="G30" s="91">
        <v>0</v>
      </c>
      <c r="H30" s="91">
        <v>0</v>
      </c>
      <c r="I30" s="91">
        <v>0</v>
      </c>
      <c r="J30" s="91">
        <v>0</v>
      </c>
      <c r="K30" s="91">
        <v>0</v>
      </c>
      <c r="L30" s="89">
        <v>31800</v>
      </c>
      <c r="M30" s="89">
        <v>45431.29</v>
      </c>
      <c r="N30" s="89">
        <v>55688.55</v>
      </c>
      <c r="O30" s="89">
        <f>76644.67-706.51-2865.58-508-180-42.8-2042.2</f>
        <v>70299.58</v>
      </c>
      <c r="P30" s="89">
        <f>102732.5-600-1239.97-3574.06-1891.7</f>
        <v>95426.77</v>
      </c>
      <c r="Q30" s="89">
        <f>97270.41-625-1759-4815.31-7727-8032.22-10400-419-3014</f>
        <v>60478.880000000005</v>
      </c>
      <c r="R30" s="89">
        <f>66660.4-6128.69-626-5799.1-1016</f>
        <v>53090.609999999993</v>
      </c>
      <c r="S30" s="89">
        <f>57048.12-457-4308.88-675.3-1570-3386-2898-2067-2746-1651</f>
        <v>37288.94</v>
      </c>
      <c r="T30" s="89">
        <f>55719.37-457-5562-20.1-8931-1834</f>
        <v>38915.270000000004</v>
      </c>
      <c r="U30" s="89">
        <v>42406.73</v>
      </c>
      <c r="V30" s="112">
        <v>31659.810000000005</v>
      </c>
      <c r="W30" s="89"/>
      <c r="X30" s="89"/>
      <c r="Y30" s="89">
        <v>66806.23</v>
      </c>
      <c r="Z30" s="86">
        <v>22707.329999999998</v>
      </c>
    </row>
    <row r="31" spans="2:26" x14ac:dyDescent="0.2">
      <c r="B31" s="69" t="s">
        <v>21</v>
      </c>
      <c r="C31" s="30" t="s">
        <v>30</v>
      </c>
      <c r="D31" s="89">
        <v>0</v>
      </c>
      <c r="E31" s="89">
        <v>0</v>
      </c>
      <c r="F31" s="89">
        <v>0</v>
      </c>
      <c r="G31" s="89">
        <v>3774</v>
      </c>
      <c r="H31" s="89">
        <v>3185</v>
      </c>
      <c r="I31" s="89">
        <v>38822.770172119053</v>
      </c>
      <c r="J31" s="89">
        <v>25369.360247612</v>
      </c>
      <c r="K31" s="89">
        <v>0</v>
      </c>
      <c r="L31" s="89">
        <v>3494.45</v>
      </c>
      <c r="M31" s="89">
        <v>14027.31</v>
      </c>
      <c r="N31" s="89">
        <v>27762.400000000001</v>
      </c>
      <c r="O31" s="89">
        <v>59220.08</v>
      </c>
      <c r="P31" s="89">
        <f>102035.09-116.5-4326.86</f>
        <v>97591.73</v>
      </c>
      <c r="Q31" s="89">
        <f>126074.4-5409.75</f>
        <v>120664.65</v>
      </c>
      <c r="R31" s="89">
        <f>150496.1-9</f>
        <v>150487.1</v>
      </c>
      <c r="S31" s="89">
        <v>168306.42</v>
      </c>
      <c r="T31" s="89">
        <v>161394.97</v>
      </c>
      <c r="U31" s="89">
        <v>172204.90000000002</v>
      </c>
      <c r="V31" s="112">
        <v>53663.97</v>
      </c>
      <c r="W31" s="89"/>
      <c r="X31" s="89"/>
      <c r="Y31" s="89">
        <v>116853.67</v>
      </c>
      <c r="Z31" s="86">
        <v>60095.76</v>
      </c>
    </row>
    <row r="32" spans="2:26" x14ac:dyDescent="0.2">
      <c r="B32" s="69" t="s">
        <v>21</v>
      </c>
      <c r="C32" s="30" t="s">
        <v>31</v>
      </c>
      <c r="D32" s="89">
        <v>73894.899999999994</v>
      </c>
      <c r="E32" s="89">
        <v>193023.57</v>
      </c>
      <c r="F32" s="89">
        <v>70903.789999999994</v>
      </c>
      <c r="G32" s="89">
        <v>100754.63</v>
      </c>
      <c r="H32" s="89">
        <v>126257</v>
      </c>
      <c r="I32" s="89">
        <v>125389.50033551455</v>
      </c>
      <c r="J32" s="89">
        <v>73958.149999999994</v>
      </c>
      <c r="K32" s="89">
        <v>50303.884500000007</v>
      </c>
      <c r="L32" s="89">
        <v>48663.91</v>
      </c>
      <c r="M32" s="89">
        <v>77699.03</v>
      </c>
      <c r="N32" s="89">
        <v>62040.84</v>
      </c>
      <c r="O32" s="89">
        <f>129228.7-7758.27</f>
        <v>121470.43</v>
      </c>
      <c r="P32" s="89">
        <v>65727.14</v>
      </c>
      <c r="Q32" s="89">
        <f>110095.6-100.3</f>
        <v>109995.3</v>
      </c>
      <c r="R32" s="89">
        <v>104571.33</v>
      </c>
      <c r="S32" s="89">
        <f>29276.88-94.39</f>
        <v>29182.49</v>
      </c>
      <c r="T32" s="89">
        <f>23608.66406-44.6</f>
        <v>23564.064060000001</v>
      </c>
      <c r="U32" s="89">
        <v>9077.11</v>
      </c>
      <c r="V32" s="112">
        <v>103105.41000000002</v>
      </c>
      <c r="W32" s="89"/>
      <c r="X32" s="89"/>
      <c r="Y32" s="89">
        <v>35542.259999999995</v>
      </c>
      <c r="Z32" s="86">
        <v>117939.66999999998</v>
      </c>
    </row>
    <row r="33" spans="2:26" x14ac:dyDescent="0.2">
      <c r="B33" s="69" t="s">
        <v>21</v>
      </c>
      <c r="C33" s="30" t="s">
        <v>73</v>
      </c>
      <c r="D33" s="91">
        <v>0</v>
      </c>
      <c r="E33" s="91">
        <v>0</v>
      </c>
      <c r="F33" s="91">
        <v>0</v>
      </c>
      <c r="G33" s="89">
        <v>13766.88</v>
      </c>
      <c r="H33" s="89">
        <v>213</v>
      </c>
      <c r="I33" s="89">
        <v>0</v>
      </c>
      <c r="J33" s="89">
        <v>0</v>
      </c>
      <c r="K33" s="89">
        <v>0</v>
      </c>
      <c r="L33" s="89">
        <v>45585.78</v>
      </c>
      <c r="M33" s="89">
        <v>85692.34</v>
      </c>
      <c r="N33" s="89">
        <v>83681</v>
      </c>
      <c r="O33" s="89">
        <v>46544.1</v>
      </c>
      <c r="P33" s="89">
        <v>57063.4</v>
      </c>
      <c r="Q33" s="89">
        <v>51244.1</v>
      </c>
      <c r="R33" s="89">
        <v>62942.85</v>
      </c>
      <c r="S33" s="89">
        <v>48758.9</v>
      </c>
      <c r="T33" s="89">
        <v>45551.01</v>
      </c>
      <c r="U33" s="89">
        <v>37115.56</v>
      </c>
      <c r="V33" s="112">
        <v>11229.27</v>
      </c>
      <c r="W33" s="89"/>
      <c r="X33" s="89"/>
      <c r="Y33" s="89">
        <v>43680.33</v>
      </c>
      <c r="Z33" s="86">
        <v>21680.6</v>
      </c>
    </row>
    <row r="34" spans="2:26" s="16" customFormat="1" x14ac:dyDescent="0.2">
      <c r="B34" s="69" t="s">
        <v>21</v>
      </c>
      <c r="C34" s="30" t="s">
        <v>94</v>
      </c>
      <c r="D34" s="89">
        <v>0</v>
      </c>
      <c r="E34" s="89">
        <v>0</v>
      </c>
      <c r="F34" s="89">
        <v>0</v>
      </c>
      <c r="G34" s="89">
        <v>0</v>
      </c>
      <c r="H34" s="89">
        <v>0</v>
      </c>
      <c r="I34" s="89">
        <v>0</v>
      </c>
      <c r="J34" s="89">
        <v>97786.084999999977</v>
      </c>
      <c r="K34" s="89">
        <v>116964.15850000002</v>
      </c>
      <c r="L34" s="89">
        <v>124289.49800000002</v>
      </c>
      <c r="M34" s="89">
        <v>92344.97</v>
      </c>
      <c r="N34" s="89">
        <v>91050.319999999963</v>
      </c>
      <c r="O34" s="89">
        <v>128511.44</v>
      </c>
      <c r="P34" s="89">
        <v>86863.66</v>
      </c>
      <c r="Q34" s="89">
        <v>125798.98</v>
      </c>
      <c r="R34" s="89">
        <v>74265.23</v>
      </c>
      <c r="S34" s="89">
        <v>110887.37999999999</v>
      </c>
      <c r="T34" s="89">
        <v>89837.48</v>
      </c>
      <c r="U34" s="89">
        <v>87045.12000000001</v>
      </c>
      <c r="V34" s="112">
        <v>99501.802257500007</v>
      </c>
      <c r="W34" s="89"/>
      <c r="X34" s="89"/>
      <c r="Y34" s="89">
        <v>9050.57</v>
      </c>
      <c r="Z34" s="86">
        <v>44672.860000000008</v>
      </c>
    </row>
    <row r="35" spans="2:26" x14ac:dyDescent="0.2">
      <c r="B35" s="69" t="s">
        <v>21</v>
      </c>
      <c r="C35" s="30" t="s">
        <v>41</v>
      </c>
      <c r="D35" s="89">
        <v>89678.1</v>
      </c>
      <c r="E35" s="89">
        <v>91495.09</v>
      </c>
      <c r="F35" s="89">
        <v>67338.28</v>
      </c>
      <c r="G35" s="89">
        <v>36049.379999999997</v>
      </c>
      <c r="H35" s="89">
        <v>44419</v>
      </c>
      <c r="I35" s="89">
        <v>81904.159568786621</v>
      </c>
      <c r="J35" s="89">
        <v>121453.60971029103</v>
      </c>
      <c r="K35" s="89">
        <v>149491.82</v>
      </c>
      <c r="L35" s="89">
        <v>86190.94</v>
      </c>
      <c r="M35" s="89">
        <v>47429.95</v>
      </c>
      <c r="N35" s="89">
        <v>145250.76</v>
      </c>
      <c r="O35" s="89">
        <f>149509.75-28525.13</f>
        <v>120984.62</v>
      </c>
      <c r="P35" s="89">
        <f>126096.02-35306.67</f>
        <v>90789.35</v>
      </c>
      <c r="Q35" s="89">
        <f>112840.09-33229</f>
        <v>79611.09</v>
      </c>
      <c r="R35" s="89">
        <f>92136.42-6337.84-2410.7</f>
        <v>83387.88</v>
      </c>
      <c r="S35" s="89">
        <v>86683.58</v>
      </c>
      <c r="T35" s="89">
        <v>123597.43</v>
      </c>
      <c r="U35" s="89">
        <v>91157.559999999983</v>
      </c>
      <c r="V35" s="112">
        <v>121555.10999999999</v>
      </c>
      <c r="W35" s="89"/>
      <c r="X35" s="89"/>
      <c r="Y35" s="89">
        <v>146121.25</v>
      </c>
      <c r="Z35" s="86">
        <v>99529.87</v>
      </c>
    </row>
    <row r="36" spans="2:26" s="20" customFormat="1" x14ac:dyDescent="0.2">
      <c r="B36" s="69" t="s">
        <v>21</v>
      </c>
      <c r="C36" s="30" t="s">
        <v>32</v>
      </c>
      <c r="D36" s="89">
        <v>450761.4</v>
      </c>
      <c r="E36" s="89">
        <v>448221.53</v>
      </c>
      <c r="F36" s="89">
        <v>380882.21</v>
      </c>
      <c r="G36" s="89">
        <v>546487.23</v>
      </c>
      <c r="H36" s="89">
        <v>646674</v>
      </c>
      <c r="I36" s="89">
        <v>643375.9210100174</v>
      </c>
      <c r="J36" s="89">
        <v>665902.01781919226</v>
      </c>
      <c r="K36" s="89">
        <v>684180.80999999982</v>
      </c>
      <c r="L36" s="89">
        <v>641130.05999999994</v>
      </c>
      <c r="M36" s="89">
        <v>689848.6399999999</v>
      </c>
      <c r="N36" s="89">
        <v>537442.2108</v>
      </c>
      <c r="O36" s="89">
        <v>608946.56999999995</v>
      </c>
      <c r="P36" s="89">
        <v>656841.14</v>
      </c>
      <c r="Q36" s="89">
        <v>616799.86</v>
      </c>
      <c r="R36" s="89">
        <v>531221.07000000007</v>
      </c>
      <c r="S36" s="89">
        <v>560877.59</v>
      </c>
      <c r="T36" s="89">
        <v>523566.22000000003</v>
      </c>
      <c r="U36" s="89">
        <v>455398.21</v>
      </c>
      <c r="V36" s="112">
        <v>561869.45000000007</v>
      </c>
      <c r="W36" s="89"/>
      <c r="X36" s="89"/>
      <c r="Y36" s="89">
        <v>633019.88099999994</v>
      </c>
      <c r="Z36" s="86">
        <v>614114.26000000013</v>
      </c>
    </row>
    <row r="37" spans="2:26" x14ac:dyDescent="0.2">
      <c r="B37" s="69" t="s">
        <v>21</v>
      </c>
      <c r="C37" s="30" t="s">
        <v>74</v>
      </c>
      <c r="D37" s="89">
        <v>0</v>
      </c>
      <c r="E37" s="89">
        <v>0</v>
      </c>
      <c r="F37" s="89">
        <v>0</v>
      </c>
      <c r="G37" s="89">
        <v>0</v>
      </c>
      <c r="H37" s="89">
        <v>0</v>
      </c>
      <c r="I37" s="89">
        <v>0</v>
      </c>
      <c r="J37" s="89">
        <v>0</v>
      </c>
      <c r="K37" s="89">
        <v>0</v>
      </c>
      <c r="L37" s="89">
        <v>0</v>
      </c>
      <c r="M37" s="89">
        <v>0</v>
      </c>
      <c r="N37" s="89">
        <v>285964.62</v>
      </c>
      <c r="O37" s="89">
        <v>209363.64</v>
      </c>
      <c r="P37" s="89">
        <v>261221.28</v>
      </c>
      <c r="Q37" s="89">
        <v>216407.06</v>
      </c>
      <c r="R37" s="89">
        <v>211845.93</v>
      </c>
      <c r="S37" s="89">
        <v>225412.65</v>
      </c>
      <c r="T37" s="89">
        <v>349221.49400000001</v>
      </c>
      <c r="U37" s="89">
        <v>421493.18</v>
      </c>
      <c r="V37" s="112">
        <v>394527.12</v>
      </c>
      <c r="W37" s="89"/>
      <c r="X37" s="89"/>
      <c r="Y37" s="89">
        <v>447442.72999999992</v>
      </c>
      <c r="Z37" s="86">
        <v>499554.26</v>
      </c>
    </row>
    <row r="38" spans="2:26" x14ac:dyDescent="0.2">
      <c r="B38" s="69" t="s">
        <v>24</v>
      </c>
      <c r="C38" s="30" t="s">
        <v>5</v>
      </c>
      <c r="D38" s="91">
        <v>0</v>
      </c>
      <c r="E38" s="89">
        <v>16.16</v>
      </c>
      <c r="F38" s="89">
        <v>76.7</v>
      </c>
      <c r="G38" s="91">
        <v>0</v>
      </c>
      <c r="H38" s="91">
        <v>0</v>
      </c>
      <c r="I38" s="91">
        <v>0</v>
      </c>
      <c r="J38" s="91">
        <v>0</v>
      </c>
      <c r="K38" s="91">
        <v>0</v>
      </c>
      <c r="L38" s="89">
        <v>0</v>
      </c>
      <c r="M38" s="89">
        <v>0</v>
      </c>
      <c r="N38" s="89">
        <v>0</v>
      </c>
      <c r="O38" s="89">
        <v>1212.6500000000001</v>
      </c>
      <c r="P38" s="89">
        <v>852</v>
      </c>
      <c r="Q38" s="89">
        <v>668.14</v>
      </c>
      <c r="R38" s="89">
        <v>259.47000000000003</v>
      </c>
      <c r="S38" s="89">
        <v>230.46999999999997</v>
      </c>
      <c r="T38" s="89">
        <v>111.71000000000001</v>
      </c>
      <c r="U38" s="89">
        <v>115.48</v>
      </c>
      <c r="V38" s="112">
        <v>139.87</v>
      </c>
      <c r="W38" s="89"/>
      <c r="X38" s="89"/>
      <c r="Y38" s="89">
        <v>361.64</v>
      </c>
      <c r="Z38" s="86">
        <v>293.13</v>
      </c>
    </row>
    <row r="39" spans="2:26" s="16" customFormat="1" x14ac:dyDescent="0.2">
      <c r="B39" s="69" t="s">
        <v>24</v>
      </c>
      <c r="C39" s="30" t="s">
        <v>4</v>
      </c>
      <c r="D39" s="89">
        <f>428.7+6</f>
        <v>434.7</v>
      </c>
      <c r="E39" s="89">
        <f>373.6+87.24</f>
        <v>460.84000000000003</v>
      </c>
      <c r="F39" s="89">
        <f>165.59+516.77</f>
        <v>682.36</v>
      </c>
      <c r="G39" s="89">
        <f>44.79+530.47</f>
        <v>575.26</v>
      </c>
      <c r="H39" s="89">
        <f>17+522</f>
        <v>539</v>
      </c>
      <c r="I39" s="89">
        <f>139.470002137124+487.42</f>
        <v>626.89000213712404</v>
      </c>
      <c r="J39" s="89">
        <f>41.3900002017617+457.62</f>
        <v>499.01000020176173</v>
      </c>
      <c r="K39" s="89">
        <f>50.13+429.39</f>
        <v>479.52</v>
      </c>
      <c r="L39" s="89">
        <f>6+441.85</f>
        <v>447.85</v>
      </c>
      <c r="M39" s="89">
        <f>21+354.39</f>
        <v>375.39</v>
      </c>
      <c r="N39" s="89">
        <f>67.47+433.47</f>
        <v>500.94000000000005</v>
      </c>
      <c r="O39" s="89">
        <f>510.36+2073.67</f>
        <v>2584.0300000000002</v>
      </c>
      <c r="P39" s="89">
        <f>589.43+116.91</f>
        <v>706.33999999999992</v>
      </c>
      <c r="Q39" s="89">
        <f>612.69+88.3</f>
        <v>700.99</v>
      </c>
      <c r="R39" s="89">
        <v>631.76</v>
      </c>
      <c r="S39" s="89">
        <f>770.5217+89.6</f>
        <v>860.12170000000003</v>
      </c>
      <c r="T39" s="89">
        <f>519.33+81.29</f>
        <v>600.62</v>
      </c>
      <c r="U39" s="89">
        <f>558.15+82.4</f>
        <v>640.54999999999995</v>
      </c>
      <c r="V39" s="112">
        <f>21652.26+32.6</f>
        <v>21684.859999999997</v>
      </c>
      <c r="W39" s="89"/>
      <c r="X39" s="89"/>
      <c r="Y39" s="89">
        <f>790.46+0.08</f>
        <v>790.54000000000008</v>
      </c>
      <c r="Z39" s="86">
        <v>2046.2018599999997</v>
      </c>
    </row>
    <row r="40" spans="2:26" s="20" customFormat="1" x14ac:dyDescent="0.2">
      <c r="B40" s="69" t="s">
        <v>24</v>
      </c>
      <c r="C40" s="30" t="s">
        <v>34</v>
      </c>
      <c r="D40" s="89">
        <v>15961</v>
      </c>
      <c r="E40" s="89">
        <v>10126.75</v>
      </c>
      <c r="F40" s="89">
        <v>9440.01</v>
      </c>
      <c r="G40" s="89">
        <v>15496.98</v>
      </c>
      <c r="H40" s="89">
        <v>28927</v>
      </c>
      <c r="I40" s="89">
        <v>28749.729952335358</v>
      </c>
      <c r="J40" s="89">
        <v>28724.270092822611</v>
      </c>
      <c r="K40" s="89">
        <v>65286.16</v>
      </c>
      <c r="L40" s="89">
        <v>19945.855</v>
      </c>
      <c r="M40" s="89">
        <v>16444.52</v>
      </c>
      <c r="N40" s="89">
        <v>24976.431</v>
      </c>
      <c r="O40" s="89">
        <v>25579.52</v>
      </c>
      <c r="P40" s="89">
        <v>41687.887999999999</v>
      </c>
      <c r="Q40" s="89">
        <v>17470.310000000001</v>
      </c>
      <c r="R40" s="89">
        <v>24612.78</v>
      </c>
      <c r="S40" s="89">
        <v>29984.440000000002</v>
      </c>
      <c r="T40" s="89">
        <v>19614.93</v>
      </c>
      <c r="U40" s="89">
        <v>17706.25</v>
      </c>
      <c r="V40" s="112">
        <v>37921.199999999997</v>
      </c>
      <c r="W40" s="89"/>
      <c r="X40" s="89"/>
      <c r="Y40" s="89">
        <v>27936.349999999995</v>
      </c>
      <c r="Z40" s="86">
        <v>15327.79</v>
      </c>
    </row>
    <row r="41" spans="2:26" x14ac:dyDescent="0.2">
      <c r="B41" s="69" t="s">
        <v>24</v>
      </c>
      <c r="C41" s="30" t="s">
        <v>35</v>
      </c>
      <c r="D41" s="89">
        <v>12218.4</v>
      </c>
      <c r="E41" s="89">
        <v>10305.89</v>
      </c>
      <c r="F41" s="89">
        <v>27102.05</v>
      </c>
      <c r="G41" s="89">
        <v>27752.89</v>
      </c>
      <c r="H41" s="89">
        <v>37568</v>
      </c>
      <c r="I41" s="89">
        <v>53777.019727993757</v>
      </c>
      <c r="J41" s="89">
        <v>23528.07018814981</v>
      </c>
      <c r="K41" s="89">
        <v>37529.268153100005</v>
      </c>
      <c r="L41" s="89">
        <v>46036.043299999998</v>
      </c>
      <c r="M41" s="89">
        <v>45111.64</v>
      </c>
      <c r="N41" s="89">
        <v>26775.307499999995</v>
      </c>
      <c r="O41" s="89">
        <v>30374.31</v>
      </c>
      <c r="P41" s="89">
        <v>30890.38</v>
      </c>
      <c r="Q41" s="89">
        <v>20951.189999999999</v>
      </c>
      <c r="R41" s="89">
        <v>25526.940000000002</v>
      </c>
      <c r="S41" s="89">
        <v>35138.869999999988</v>
      </c>
      <c r="T41" s="89">
        <v>27679.040000000001</v>
      </c>
      <c r="U41" s="89">
        <v>34899.639999999992</v>
      </c>
      <c r="V41" s="112">
        <v>36289.169999999991</v>
      </c>
      <c r="W41" s="89"/>
      <c r="X41" s="89"/>
      <c r="Y41" s="89">
        <v>45052.3</v>
      </c>
      <c r="Z41" s="86">
        <v>18211.11</v>
      </c>
    </row>
    <row r="42" spans="2:26" s="20" customFormat="1" x14ac:dyDescent="0.2">
      <c r="B42" s="69" t="s">
        <v>22</v>
      </c>
      <c r="C42" s="30" t="s">
        <v>9</v>
      </c>
      <c r="D42" s="89">
        <v>98</v>
      </c>
      <c r="E42" s="89">
        <v>68.790000000000006</v>
      </c>
      <c r="F42" s="89">
        <v>25.96</v>
      </c>
      <c r="G42" s="89">
        <v>1789.07</v>
      </c>
      <c r="H42" s="89">
        <v>8</v>
      </c>
      <c r="I42" s="89">
        <v>4528.6599996685982</v>
      </c>
      <c r="J42" s="89">
        <v>5754.9001951217651</v>
      </c>
      <c r="K42" s="89">
        <v>5787.0100000000011</v>
      </c>
      <c r="L42" s="89">
        <v>5475.17</v>
      </c>
      <c r="M42" s="89">
        <v>5525.55</v>
      </c>
      <c r="N42" s="89">
        <v>2762.99</v>
      </c>
      <c r="O42" s="89">
        <v>704.86</v>
      </c>
      <c r="P42" s="89">
        <v>6138.991</v>
      </c>
      <c r="Q42" s="89">
        <v>7406.86</v>
      </c>
      <c r="R42" s="89">
        <v>0.5</v>
      </c>
      <c r="S42" s="89">
        <v>109.08</v>
      </c>
      <c r="T42" s="89">
        <v>98</v>
      </c>
      <c r="U42" s="89">
        <v>19</v>
      </c>
      <c r="V42" s="112">
        <v>64</v>
      </c>
      <c r="W42" s="89"/>
      <c r="X42" s="89"/>
      <c r="Y42" s="89">
        <v>1305.7303331818543</v>
      </c>
      <c r="Z42" s="86">
        <v>457.85728552385211</v>
      </c>
    </row>
    <row r="43" spans="2:26" x14ac:dyDescent="0.2">
      <c r="B43" s="69" t="s">
        <v>22</v>
      </c>
      <c r="C43" s="30" t="s">
        <v>36</v>
      </c>
      <c r="D43" s="89">
        <v>495469.66</v>
      </c>
      <c r="E43" s="89">
        <v>491230.43</v>
      </c>
      <c r="F43" s="89">
        <v>417533.5</v>
      </c>
      <c r="G43" s="89">
        <v>430750.09</v>
      </c>
      <c r="H43" s="89">
        <v>535662</v>
      </c>
      <c r="I43" s="89">
        <v>565698.3303829357</v>
      </c>
      <c r="J43" s="89">
        <v>570802.16820052848</v>
      </c>
      <c r="K43" s="89">
        <v>555756.6370000001</v>
      </c>
      <c r="L43" s="89">
        <v>569688.31000000006</v>
      </c>
      <c r="M43" s="89">
        <v>491265.57</v>
      </c>
      <c r="N43" s="89">
        <v>471477.47460000002</v>
      </c>
      <c r="O43" s="89">
        <v>542332.64</v>
      </c>
      <c r="P43" s="89">
        <v>520584.58100000001</v>
      </c>
      <c r="Q43" s="89">
        <v>534494.06999999995</v>
      </c>
      <c r="R43" s="89">
        <v>497912.17402535374</v>
      </c>
      <c r="S43" s="89">
        <v>523478.36260547792</v>
      </c>
      <c r="T43" s="89">
        <v>586652.31999999995</v>
      </c>
      <c r="U43" s="89">
        <v>504179.3979559688</v>
      </c>
      <c r="V43" s="112">
        <v>650681.95701670775</v>
      </c>
      <c r="W43" s="89"/>
      <c r="X43" s="89"/>
      <c r="Y43" s="89">
        <v>657814.66948059271</v>
      </c>
      <c r="Z43" s="86">
        <v>620028.4526208163</v>
      </c>
    </row>
    <row r="44" spans="2:26" x14ac:dyDescent="0.2">
      <c r="B44" s="69" t="s">
        <v>22</v>
      </c>
      <c r="C44" s="30" t="s">
        <v>40</v>
      </c>
      <c r="D44" s="89">
        <v>59976.24</v>
      </c>
      <c r="E44" s="89">
        <v>58537.5</v>
      </c>
      <c r="F44" s="89">
        <v>62311.64</v>
      </c>
      <c r="G44" s="89">
        <v>59501.75</v>
      </c>
      <c r="H44" s="89">
        <v>70210</v>
      </c>
      <c r="I44" s="89">
        <v>58660.563073337078</v>
      </c>
      <c r="J44" s="89">
        <v>71774.050310581923</v>
      </c>
      <c r="K44" s="89">
        <v>82806.35000000002</v>
      </c>
      <c r="L44" s="89">
        <v>57928.97</v>
      </c>
      <c r="M44" s="89">
        <v>47266.15</v>
      </c>
      <c r="N44" s="89">
        <v>76667.395000000004</v>
      </c>
      <c r="O44" s="89">
        <v>66664.399999999994</v>
      </c>
      <c r="P44" s="89">
        <v>39071.531999999999</v>
      </c>
      <c r="Q44" s="89">
        <v>52063.34</v>
      </c>
      <c r="R44" s="89">
        <v>40920.65</v>
      </c>
      <c r="S44" s="89">
        <v>62809.159999999989</v>
      </c>
      <c r="T44" s="89">
        <v>42216.61686142793</v>
      </c>
      <c r="U44" s="89">
        <v>58895.841660621219</v>
      </c>
      <c r="V44" s="112">
        <v>53765.039999999994</v>
      </c>
      <c r="W44" s="89"/>
      <c r="X44" s="89"/>
      <c r="Y44" s="89">
        <v>40062.760000000017</v>
      </c>
      <c r="Z44" s="86">
        <v>34120.380000000005</v>
      </c>
    </row>
    <row r="45" spans="2:26" s="1" customFormat="1" x14ac:dyDescent="0.2">
      <c r="B45" s="69" t="s">
        <v>22</v>
      </c>
      <c r="C45" s="30" t="s">
        <v>38</v>
      </c>
      <c r="D45" s="89">
        <v>273493.63</v>
      </c>
      <c r="E45" s="89">
        <v>231302.39999999999</v>
      </c>
      <c r="F45" s="89">
        <v>206051.12</v>
      </c>
      <c r="G45" s="89">
        <v>219111.07</v>
      </c>
      <c r="H45" s="89">
        <v>230934</v>
      </c>
      <c r="I45" s="89">
        <v>322732.4088585506</v>
      </c>
      <c r="J45" s="89">
        <v>316874.0888314062</v>
      </c>
      <c r="K45" s="89">
        <v>361042.97999999981</v>
      </c>
      <c r="L45" s="89">
        <v>367833.75</v>
      </c>
      <c r="M45" s="89">
        <v>274982.11</v>
      </c>
      <c r="N45" s="89">
        <v>287813.58319999999</v>
      </c>
      <c r="O45" s="89">
        <v>280054.53999999998</v>
      </c>
      <c r="P45" s="89">
        <v>293424.30599999998</v>
      </c>
      <c r="Q45" s="89">
        <v>300119.78999999998</v>
      </c>
      <c r="R45" s="89">
        <v>327341.84999999998</v>
      </c>
      <c r="S45" s="89">
        <v>220864.60513303737</v>
      </c>
      <c r="T45" s="89">
        <v>213486.07999999999</v>
      </c>
      <c r="U45" s="89">
        <v>178153.39313848777</v>
      </c>
      <c r="V45" s="112">
        <v>222117.34330398196</v>
      </c>
      <c r="W45" s="89"/>
      <c r="X45" s="89"/>
      <c r="Y45" s="89">
        <v>212901.5453422034</v>
      </c>
      <c r="Z45" s="86">
        <v>206536.34712184721</v>
      </c>
    </row>
    <row r="46" spans="2:26" x14ac:dyDescent="0.2">
      <c r="B46" s="69" t="s">
        <v>22</v>
      </c>
      <c r="C46" s="30" t="s">
        <v>37</v>
      </c>
      <c r="D46" s="89">
        <v>219715.57</v>
      </c>
      <c r="E46" s="89">
        <v>176392.09</v>
      </c>
      <c r="F46" s="89">
        <v>187585.08</v>
      </c>
      <c r="G46" s="89">
        <v>215882.04</v>
      </c>
      <c r="H46" s="89">
        <v>261306</v>
      </c>
      <c r="I46" s="89">
        <v>259157.13638679683</v>
      </c>
      <c r="J46" s="89">
        <v>294886.68956247717</v>
      </c>
      <c r="K46" s="89">
        <v>289249.74799999991</v>
      </c>
      <c r="L46" s="89">
        <v>282980.72499999998</v>
      </c>
      <c r="M46" s="89">
        <v>267524.25</v>
      </c>
      <c r="N46" s="89">
        <v>233923.88199999998</v>
      </c>
      <c r="O46" s="89">
        <v>275024.71000000002</v>
      </c>
      <c r="P46" s="89">
        <v>170088.43100000001</v>
      </c>
      <c r="Q46" s="89">
        <v>225109.28</v>
      </c>
      <c r="R46" s="89">
        <v>227737.18</v>
      </c>
      <c r="S46" s="89">
        <v>212844.34750621504</v>
      </c>
      <c r="T46" s="89">
        <v>240296.43</v>
      </c>
      <c r="U46" s="89">
        <v>207276.58483390772</v>
      </c>
      <c r="V46" s="112">
        <v>103867.20015958586</v>
      </c>
      <c r="W46" s="89"/>
      <c r="X46" s="89"/>
      <c r="Y46" s="89">
        <v>76620.333828653631</v>
      </c>
      <c r="Z46" s="86">
        <v>61042.015324990636</v>
      </c>
    </row>
    <row r="47" spans="2:26" x14ac:dyDescent="0.2">
      <c r="B47" s="69" t="s">
        <v>22</v>
      </c>
      <c r="C47" s="30" t="s">
        <v>39</v>
      </c>
      <c r="D47" s="91"/>
      <c r="E47" s="91"/>
      <c r="F47" s="91"/>
      <c r="G47" s="89"/>
      <c r="H47" s="89"/>
      <c r="I47" s="89"/>
      <c r="J47" s="89"/>
      <c r="K47" s="89"/>
      <c r="L47" s="89"/>
      <c r="M47" s="89"/>
      <c r="N47" s="89">
        <v>6475.97</v>
      </c>
      <c r="O47" s="89">
        <v>3686</v>
      </c>
      <c r="P47" s="89">
        <v>0</v>
      </c>
      <c r="Q47" s="89">
        <v>0</v>
      </c>
      <c r="R47" s="89">
        <v>0</v>
      </c>
      <c r="S47" s="89">
        <v>0</v>
      </c>
      <c r="T47" s="89">
        <v>0</v>
      </c>
      <c r="U47" s="89">
        <v>0</v>
      </c>
      <c r="V47" s="112">
        <v>0</v>
      </c>
      <c r="W47" s="89"/>
      <c r="X47" s="89"/>
      <c r="Y47" s="89">
        <v>8.9499999999999993</v>
      </c>
      <c r="Z47" s="86">
        <v>941.81</v>
      </c>
    </row>
    <row r="48" spans="2:26" x14ac:dyDescent="0.2">
      <c r="B48" s="69" t="s">
        <v>33</v>
      </c>
      <c r="C48" s="30" t="s">
        <v>49</v>
      </c>
      <c r="D48" s="89"/>
      <c r="E48" s="89"/>
      <c r="F48" s="89"/>
      <c r="G48" s="89"/>
      <c r="H48" s="89"/>
      <c r="I48" s="89"/>
      <c r="J48" s="89"/>
      <c r="K48" s="89"/>
      <c r="L48" s="89"/>
      <c r="M48" s="89"/>
      <c r="N48" s="89"/>
      <c r="O48" s="89"/>
      <c r="P48" s="89"/>
      <c r="Q48" s="89">
        <v>7826.55</v>
      </c>
      <c r="R48" s="89">
        <v>997.94</v>
      </c>
      <c r="S48" s="89">
        <v>424.2</v>
      </c>
      <c r="T48" s="89">
        <v>3602.69</v>
      </c>
      <c r="U48" s="89">
        <v>4048.3300000000004</v>
      </c>
      <c r="V48" s="112">
        <v>831.27999999999986</v>
      </c>
      <c r="W48" s="89"/>
      <c r="X48" s="89"/>
      <c r="Y48" s="89">
        <v>14589.419999999998</v>
      </c>
      <c r="Z48" s="86">
        <v>4223.1900000000005</v>
      </c>
    </row>
    <row r="49" spans="2:26" x14ac:dyDescent="0.2">
      <c r="B49" s="69" t="s">
        <v>33</v>
      </c>
      <c r="C49" s="30" t="s">
        <v>50</v>
      </c>
      <c r="D49" s="89">
        <v>5099.51</v>
      </c>
      <c r="E49" s="89">
        <v>4661.45</v>
      </c>
      <c r="F49" s="89">
        <v>5885.91</v>
      </c>
      <c r="G49" s="89">
        <v>6060.36</v>
      </c>
      <c r="H49" s="89">
        <v>6748</v>
      </c>
      <c r="I49" s="89">
        <v>8534.1400342341512</v>
      </c>
      <c r="J49" s="89">
        <v>7558.4799780610201</v>
      </c>
      <c r="K49" s="89">
        <v>14024.19</v>
      </c>
      <c r="L49" s="89">
        <v>9827.02</v>
      </c>
      <c r="M49" s="89">
        <v>16766.79</v>
      </c>
      <c r="N49" s="89">
        <v>15803.223000000002</v>
      </c>
      <c r="O49" s="89">
        <v>16986.32</v>
      </c>
      <c r="P49" s="89">
        <v>18829.874</v>
      </c>
      <c r="Q49" s="89">
        <v>24029.02</v>
      </c>
      <c r="R49" s="89">
        <v>22360.38</v>
      </c>
      <c r="S49" s="89">
        <v>16627.435493163779</v>
      </c>
      <c r="T49" s="89">
        <v>16978.57</v>
      </c>
      <c r="U49" s="89">
        <v>18525.603150582629</v>
      </c>
      <c r="V49" s="112">
        <v>21438.939882414499</v>
      </c>
      <c r="W49" s="89"/>
      <c r="X49" s="89"/>
      <c r="Y49" s="89">
        <v>19834.728140039497</v>
      </c>
      <c r="Z49" s="86">
        <v>22083.60790262256</v>
      </c>
    </row>
    <row r="50" spans="2:26" x14ac:dyDescent="0.2">
      <c r="B50" s="69" t="s">
        <v>33</v>
      </c>
      <c r="C50" s="30" t="s">
        <v>51</v>
      </c>
      <c r="D50" s="89">
        <v>5491.07</v>
      </c>
      <c r="E50" s="89">
        <v>4841.28</v>
      </c>
      <c r="F50" s="89">
        <v>6029.43</v>
      </c>
      <c r="G50" s="89">
        <v>8484.6200000000008</v>
      </c>
      <c r="H50" s="89">
        <v>7991</v>
      </c>
      <c r="I50" s="89">
        <v>9319.4350114110857</v>
      </c>
      <c r="J50" s="89">
        <v>8000.4999648891389</v>
      </c>
      <c r="K50" s="89">
        <v>11348.483800000004</v>
      </c>
      <c r="L50" s="89">
        <v>7741.71</v>
      </c>
      <c r="M50" s="89">
        <v>13875.83</v>
      </c>
      <c r="N50" s="89">
        <v>18824.281999999999</v>
      </c>
      <c r="O50" s="89">
        <v>12475.4</v>
      </c>
      <c r="P50" s="89">
        <v>16863.855</v>
      </c>
      <c r="Q50" s="89">
        <v>16720.259999999998</v>
      </c>
      <c r="R50" s="89">
        <v>13744.44</v>
      </c>
      <c r="S50" s="89">
        <v>13053.056787240739</v>
      </c>
      <c r="T50" s="89">
        <v>14722.06</v>
      </c>
      <c r="U50" s="89">
        <v>12216.463895948431</v>
      </c>
      <c r="V50" s="112">
        <v>13732.682674109745</v>
      </c>
      <c r="W50" s="89"/>
      <c r="X50" s="89"/>
      <c r="Y50" s="89">
        <v>7978.2710524012</v>
      </c>
      <c r="Z50" s="86">
        <v>10705.19092762635</v>
      </c>
    </row>
    <row r="51" spans="2:26" x14ac:dyDescent="0.2">
      <c r="B51" s="69" t="s">
        <v>33</v>
      </c>
      <c r="C51" s="30" t="s">
        <v>52</v>
      </c>
      <c r="D51" s="89">
        <v>4032.17</v>
      </c>
      <c r="E51" s="89">
        <v>6603.43</v>
      </c>
      <c r="F51" s="89">
        <v>9775.15</v>
      </c>
      <c r="G51" s="89">
        <v>17925.34</v>
      </c>
      <c r="H51" s="89">
        <v>10604</v>
      </c>
      <c r="I51" s="89">
        <v>16208.550053494051</v>
      </c>
      <c r="J51" s="89">
        <v>14928.150227399543</v>
      </c>
      <c r="K51" s="89">
        <v>13695.040699999994</v>
      </c>
      <c r="L51" s="89">
        <v>14039.89</v>
      </c>
      <c r="M51" s="89">
        <v>15406.93</v>
      </c>
      <c r="N51" s="89">
        <v>16772.348499999996</v>
      </c>
      <c r="O51" s="89">
        <v>27023.65</v>
      </c>
      <c r="P51" s="89">
        <v>23374.904999999999</v>
      </c>
      <c r="Q51" s="89">
        <v>20021.66</v>
      </c>
      <c r="R51" s="89">
        <v>22303.4</v>
      </c>
      <c r="S51" s="89">
        <v>28585.603346511496</v>
      </c>
      <c r="T51" s="89">
        <v>21675.61</v>
      </c>
      <c r="U51" s="89">
        <v>19072.692694329329</v>
      </c>
      <c r="V51" s="112">
        <v>20801.904795324335</v>
      </c>
      <c r="W51" s="89"/>
      <c r="X51" s="89"/>
      <c r="Y51" s="89">
        <v>9715.6320793484683</v>
      </c>
      <c r="Z51" s="86">
        <v>14458.798662280704</v>
      </c>
    </row>
    <row r="52" spans="2:26" x14ac:dyDescent="0.2">
      <c r="B52" s="87" t="s">
        <v>33</v>
      </c>
      <c r="C52" s="73" t="s">
        <v>53</v>
      </c>
      <c r="D52" s="88">
        <v>6512.3</v>
      </c>
      <c r="E52" s="88">
        <v>4067.44</v>
      </c>
      <c r="F52" s="88">
        <v>9067.27</v>
      </c>
      <c r="G52" s="88">
        <v>3482.18</v>
      </c>
      <c r="H52" s="88">
        <v>7783</v>
      </c>
      <c r="I52" s="88">
        <v>7943.7760068326024</v>
      </c>
      <c r="J52" s="88">
        <v>7775.6000429373235</v>
      </c>
      <c r="K52" s="88">
        <v>12350.157099999995</v>
      </c>
      <c r="L52" s="88">
        <v>11244.91</v>
      </c>
      <c r="M52" s="88">
        <v>12747.03</v>
      </c>
      <c r="N52" s="88">
        <v>13009.374999999998</v>
      </c>
      <c r="O52" s="88">
        <v>18194.310000000001</v>
      </c>
      <c r="P52" s="88">
        <v>18366.582999999999</v>
      </c>
      <c r="Q52" s="88">
        <v>15910.3</v>
      </c>
      <c r="R52" s="88">
        <v>12918.98</v>
      </c>
      <c r="S52" s="88">
        <v>16161.756062742887</v>
      </c>
      <c r="T52" s="88">
        <v>14606.93</v>
      </c>
      <c r="U52" s="88">
        <v>13371.751525756099</v>
      </c>
      <c r="V52" s="110">
        <v>14860.708659458121</v>
      </c>
      <c r="W52" s="110"/>
      <c r="X52" s="110"/>
      <c r="Y52" s="110">
        <v>35911.036271888966</v>
      </c>
      <c r="Z52" s="92">
        <v>13082.56218337702</v>
      </c>
    </row>
    <row r="53" spans="2:26" ht="13.5" thickBot="1" x14ac:dyDescent="0.25">
      <c r="B53" s="121" t="s">
        <v>110</v>
      </c>
      <c r="C53" s="122"/>
      <c r="D53" s="33">
        <f t="shared" ref="D53:Z53" si="0">SUM(D6:D52)</f>
        <v>3851320.9099999997</v>
      </c>
      <c r="E53" s="33">
        <f t="shared" si="0"/>
        <v>4230556.3900000006</v>
      </c>
      <c r="F53" s="33">
        <f t="shared" si="0"/>
        <v>4484674.4099999992</v>
      </c>
      <c r="G53" s="33">
        <f t="shared" si="0"/>
        <v>4983294.8299999991</v>
      </c>
      <c r="H53" s="33">
        <f t="shared" si="0"/>
        <v>6079656</v>
      </c>
      <c r="I53" s="33">
        <f t="shared" si="0"/>
        <v>6851733.8078436106</v>
      </c>
      <c r="J53" s="33">
        <f t="shared" si="0"/>
        <v>7052506.6651520375</v>
      </c>
      <c r="K53" s="33">
        <f t="shared" si="0"/>
        <v>6747007.3239394324</v>
      </c>
      <c r="L53" s="33">
        <f t="shared" si="0"/>
        <v>6277620.5781999985</v>
      </c>
      <c r="M53" s="33">
        <f t="shared" si="0"/>
        <v>6651847.5999999996</v>
      </c>
      <c r="N53" s="33">
        <f t="shared" si="0"/>
        <v>7290954.9686000012</v>
      </c>
      <c r="O53" s="33">
        <f t="shared" si="0"/>
        <v>7491662.0200000005</v>
      </c>
      <c r="P53" s="33">
        <f t="shared" si="0"/>
        <v>7268697.5269999998</v>
      </c>
      <c r="Q53" s="33">
        <f t="shared" si="0"/>
        <v>7243089.75</v>
      </c>
      <c r="R53" s="33">
        <f t="shared" si="0"/>
        <v>7151923.1113460325</v>
      </c>
      <c r="S53" s="33">
        <f t="shared" si="0"/>
        <v>7141228.6184743969</v>
      </c>
      <c r="T53" s="33">
        <f t="shared" si="0"/>
        <v>7420566.0345420567</v>
      </c>
      <c r="U53" s="33">
        <f t="shared" si="0"/>
        <v>7768306.6117574461</v>
      </c>
      <c r="V53" s="33">
        <f t="shared" si="0"/>
        <v>8344398.0733721033</v>
      </c>
      <c r="W53" s="33">
        <f t="shared" si="0"/>
        <v>0</v>
      </c>
      <c r="X53" s="33">
        <f t="shared" si="0"/>
        <v>0</v>
      </c>
      <c r="Y53" s="33">
        <f t="shared" si="0"/>
        <v>8407005.8902497049</v>
      </c>
      <c r="Z53" s="117">
        <f t="shared" si="0"/>
        <v>7387971.3333199508</v>
      </c>
    </row>
    <row r="54" spans="2:26" s="1" customFormat="1" ht="7.9" customHeight="1" thickBot="1" x14ac:dyDescent="0.25">
      <c r="B54" s="2"/>
      <c r="C54" s="31"/>
      <c r="D54" s="4"/>
      <c r="E54" s="4"/>
      <c r="F54" s="4"/>
      <c r="G54" s="4"/>
      <c r="H54" s="4"/>
      <c r="I54" s="4"/>
      <c r="J54" s="4"/>
      <c r="K54" s="4"/>
      <c r="L54" s="4"/>
      <c r="O54" s="5"/>
      <c r="P54" s="6"/>
      <c r="V54" s="7"/>
      <c r="Z54" s="7"/>
    </row>
    <row r="55" spans="2:26" x14ac:dyDescent="0.2">
      <c r="B55" s="68" t="s">
        <v>17</v>
      </c>
      <c r="C55" s="67" t="s">
        <v>66</v>
      </c>
      <c r="D55" s="21"/>
      <c r="E55" s="21"/>
      <c r="F55" s="21"/>
      <c r="G55" s="21"/>
      <c r="H55" s="21"/>
      <c r="I55" s="21"/>
      <c r="J55" s="21"/>
      <c r="K55" s="21"/>
      <c r="L55" s="21"/>
      <c r="M55" s="21"/>
      <c r="N55" s="21"/>
      <c r="O55" s="22"/>
      <c r="P55" s="22"/>
      <c r="Q55" s="22"/>
      <c r="R55" s="22"/>
      <c r="S55" s="22"/>
      <c r="T55" s="22"/>
      <c r="U55" s="22"/>
      <c r="V55" s="22"/>
      <c r="W55" s="22"/>
      <c r="X55" s="22"/>
      <c r="Y55" s="22"/>
      <c r="Z55" s="23"/>
    </row>
    <row r="56" spans="2:26" x14ac:dyDescent="0.2">
      <c r="B56" s="69" t="s">
        <v>19</v>
      </c>
      <c r="C56" s="30" t="s">
        <v>55</v>
      </c>
      <c r="D56" s="91">
        <v>0</v>
      </c>
      <c r="E56" s="91">
        <v>0</v>
      </c>
      <c r="F56" s="91">
        <v>0</v>
      </c>
      <c r="G56" s="91">
        <v>0</v>
      </c>
      <c r="H56" s="91">
        <v>0</v>
      </c>
      <c r="I56" s="91">
        <v>0</v>
      </c>
      <c r="J56" s="89">
        <v>208010</v>
      </c>
      <c r="K56" s="89">
        <v>136205</v>
      </c>
      <c r="L56" s="89">
        <v>141405.93333333332</v>
      </c>
      <c r="M56" s="89">
        <v>78018.320000000007</v>
      </c>
      <c r="N56" s="89">
        <v>130765.52</v>
      </c>
      <c r="O56" s="89">
        <v>100289.24</v>
      </c>
      <c r="P56" s="89">
        <v>106485.94</v>
      </c>
      <c r="Q56" s="89">
        <v>82964.42</v>
      </c>
      <c r="R56" s="89">
        <v>78698.28</v>
      </c>
      <c r="S56" s="89">
        <v>68534</v>
      </c>
      <c r="T56" s="89">
        <v>171438.24000000002</v>
      </c>
      <c r="U56" s="89">
        <v>119755.23000000001</v>
      </c>
      <c r="V56" s="112">
        <v>40527.18</v>
      </c>
      <c r="W56" s="89"/>
      <c r="X56" s="89"/>
      <c r="Y56" s="89">
        <v>47794.39</v>
      </c>
      <c r="Z56" s="86">
        <v>55050.270000000004</v>
      </c>
    </row>
    <row r="57" spans="2:26" x14ac:dyDescent="0.2">
      <c r="B57" s="69" t="s">
        <v>19</v>
      </c>
      <c r="C57" s="30" t="s">
        <v>59</v>
      </c>
      <c r="D57" s="89">
        <v>121</v>
      </c>
      <c r="E57" s="89">
        <v>12460</v>
      </c>
      <c r="F57" s="89">
        <v>196100.41</v>
      </c>
      <c r="G57" s="89">
        <v>189583.58</v>
      </c>
      <c r="H57" s="89">
        <v>129927</v>
      </c>
      <c r="I57" s="89">
        <v>163407.92166042328</v>
      </c>
      <c r="J57" s="89">
        <v>372677.60748297907</v>
      </c>
      <c r="K57" s="89">
        <v>353682.75739999994</v>
      </c>
      <c r="L57" s="89">
        <v>331528.13679999998</v>
      </c>
      <c r="M57" s="89">
        <v>613888.35</v>
      </c>
      <c r="N57" s="89">
        <v>698615</v>
      </c>
      <c r="O57" s="89">
        <v>519075.02</v>
      </c>
      <c r="P57" s="89">
        <v>323474.2</v>
      </c>
      <c r="Q57" s="89">
        <v>367574.38</v>
      </c>
      <c r="R57" s="89">
        <v>322181.65000000002</v>
      </c>
      <c r="S57" s="89">
        <v>203283.91600000003</v>
      </c>
      <c r="T57" s="89">
        <v>301589.63</v>
      </c>
      <c r="U57" s="89">
        <v>301496.61500000005</v>
      </c>
      <c r="V57" s="112">
        <v>152572.09735046292</v>
      </c>
      <c r="W57" s="89"/>
      <c r="X57" s="89"/>
      <c r="Y57" s="89">
        <v>66631</v>
      </c>
      <c r="Z57" s="86">
        <v>193702.11</v>
      </c>
    </row>
    <row r="58" spans="2:26" x14ac:dyDescent="0.2">
      <c r="B58" s="69" t="s">
        <v>18</v>
      </c>
      <c r="C58" s="30" t="s">
        <v>58</v>
      </c>
      <c r="D58" s="89">
        <v>33020.699999999997</v>
      </c>
      <c r="E58" s="89">
        <v>19785.55</v>
      </c>
      <c r="F58" s="89">
        <v>30838.46</v>
      </c>
      <c r="G58" s="89">
        <v>15579.73</v>
      </c>
      <c r="H58" s="89">
        <v>825</v>
      </c>
      <c r="I58" s="89">
        <v>305.89999432861805</v>
      </c>
      <c r="J58" s="89">
        <v>1283.2300019189715</v>
      </c>
      <c r="K58" s="89">
        <v>129.15</v>
      </c>
      <c r="L58" s="89">
        <v>32.74</v>
      </c>
      <c r="M58" s="89">
        <v>177.14</v>
      </c>
      <c r="N58" s="89">
        <v>2567.62</v>
      </c>
      <c r="O58" s="89">
        <v>2409.48</v>
      </c>
      <c r="P58" s="89">
        <v>3432.16</v>
      </c>
      <c r="Q58" s="89">
        <v>11018.62</v>
      </c>
      <c r="R58" s="89">
        <v>14557.08</v>
      </c>
      <c r="S58" s="89">
        <v>5605.3259140456812</v>
      </c>
      <c r="T58" s="89">
        <v>13690.7598</v>
      </c>
      <c r="U58" s="89">
        <v>8.31</v>
      </c>
      <c r="V58" s="112">
        <v>46.75</v>
      </c>
      <c r="W58" s="89"/>
      <c r="X58" s="89"/>
      <c r="Y58" s="89">
        <v>52.709999999999994</v>
      </c>
      <c r="Z58" s="86">
        <v>15657.38</v>
      </c>
    </row>
    <row r="59" spans="2:26" x14ac:dyDescent="0.2">
      <c r="B59" s="69" t="s">
        <v>18</v>
      </c>
      <c r="C59" s="30" t="s">
        <v>239</v>
      </c>
      <c r="D59" s="89"/>
      <c r="E59" s="89"/>
      <c r="F59" s="89"/>
      <c r="G59" s="89"/>
      <c r="H59" s="89"/>
      <c r="I59" s="89"/>
      <c r="J59" s="89"/>
      <c r="K59" s="89"/>
      <c r="L59" s="89"/>
      <c r="M59" s="89"/>
      <c r="N59" s="89"/>
      <c r="O59" s="89"/>
      <c r="P59" s="89"/>
      <c r="Q59" s="89"/>
      <c r="R59" s="89"/>
      <c r="S59" s="89"/>
      <c r="T59" s="89"/>
      <c r="U59" s="89"/>
      <c r="V59" s="112"/>
      <c r="W59" s="89"/>
      <c r="X59" s="89"/>
      <c r="Y59" s="89"/>
      <c r="Z59" s="86">
        <v>390.47621327866801</v>
      </c>
    </row>
    <row r="60" spans="2:26" x14ac:dyDescent="0.2">
      <c r="B60" s="69" t="s">
        <v>18</v>
      </c>
      <c r="C60" s="30" t="s">
        <v>56</v>
      </c>
      <c r="D60" s="89">
        <v>0</v>
      </c>
      <c r="E60" s="89">
        <v>0</v>
      </c>
      <c r="F60" s="89">
        <v>121348.64</v>
      </c>
      <c r="G60" s="89">
        <v>2.2999999999999998</v>
      </c>
      <c r="H60" s="89">
        <v>115</v>
      </c>
      <c r="I60" s="89">
        <v>16.329999640583992</v>
      </c>
      <c r="J60" s="89">
        <v>1.1499999910593033</v>
      </c>
      <c r="K60" s="89">
        <v>0.25</v>
      </c>
      <c r="L60" s="89">
        <v>0</v>
      </c>
      <c r="M60" s="89">
        <v>0</v>
      </c>
      <c r="N60" s="89">
        <v>5.0999999999999996</v>
      </c>
      <c r="O60" s="89">
        <v>174.86</v>
      </c>
      <c r="P60" s="89">
        <v>0</v>
      </c>
      <c r="Q60" s="89">
        <v>0</v>
      </c>
      <c r="R60" s="89">
        <v>0</v>
      </c>
      <c r="S60" s="89">
        <v>0</v>
      </c>
      <c r="T60" s="89">
        <v>0</v>
      </c>
      <c r="U60" s="89">
        <v>9800</v>
      </c>
      <c r="V60" s="112">
        <v>20866.8</v>
      </c>
      <c r="W60" s="89"/>
      <c r="X60" s="89"/>
      <c r="Y60" s="89">
        <v>0</v>
      </c>
      <c r="Z60" s="86">
        <v>0</v>
      </c>
    </row>
    <row r="61" spans="2:26" ht="26.45" customHeight="1" x14ac:dyDescent="0.2">
      <c r="B61" s="69" t="s">
        <v>21</v>
      </c>
      <c r="C61" s="30" t="s">
        <v>118</v>
      </c>
      <c r="D61" s="89"/>
      <c r="E61" s="89"/>
      <c r="F61" s="89"/>
      <c r="G61" s="89"/>
      <c r="H61" s="89"/>
      <c r="I61" s="89"/>
      <c r="J61" s="89"/>
      <c r="K61" s="89"/>
      <c r="L61" s="89"/>
      <c r="M61" s="89">
        <v>1697</v>
      </c>
      <c r="N61" s="89">
        <v>3500</v>
      </c>
      <c r="O61" s="89">
        <v>5493</v>
      </c>
      <c r="P61" s="89">
        <v>4482</v>
      </c>
      <c r="Q61" s="89">
        <v>4559.93</v>
      </c>
      <c r="R61" s="89">
        <v>3.11</v>
      </c>
      <c r="S61" s="89">
        <v>3988</v>
      </c>
      <c r="T61" s="89">
        <v>5643</v>
      </c>
      <c r="U61" s="89">
        <v>5764.58</v>
      </c>
      <c r="V61" s="112">
        <v>11818.917757500003</v>
      </c>
      <c r="W61" s="89"/>
      <c r="X61" s="89"/>
      <c r="Y61" s="89">
        <v>3555.4494875</v>
      </c>
      <c r="Z61" s="86">
        <v>3702.26</v>
      </c>
    </row>
    <row r="62" spans="2:26" x14ac:dyDescent="0.2">
      <c r="B62" s="69" t="s">
        <v>21</v>
      </c>
      <c r="C62" s="30" t="s">
        <v>119</v>
      </c>
      <c r="D62" s="89"/>
      <c r="E62" s="89"/>
      <c r="F62" s="89"/>
      <c r="G62" s="89"/>
      <c r="H62" s="89"/>
      <c r="I62" s="89">
        <f>4920+120+497.84</f>
        <v>5537.84</v>
      </c>
      <c r="J62" s="89">
        <f>167+337</f>
        <v>504</v>
      </c>
      <c r="K62" s="89">
        <v>0</v>
      </c>
      <c r="L62" s="89">
        <f>2042+24+12+56</f>
        <v>2134</v>
      </c>
      <c r="M62" s="89">
        <f>916+81.6+163.27</f>
        <v>1160.8700000000001</v>
      </c>
      <c r="N62" s="89">
        <f>45.8+1692+89.25</f>
        <v>1827.05</v>
      </c>
      <c r="O62" s="89">
        <f>42.8</f>
        <v>42.8</v>
      </c>
      <c r="P62" s="89">
        <f>116.5+1891.7+58.5</f>
        <v>2066.6999999999998</v>
      </c>
      <c r="Q62" s="89">
        <f>100.3+419+81.11</f>
        <v>600.41</v>
      </c>
      <c r="R62" s="89">
        <f>9+1016</f>
        <v>1025</v>
      </c>
      <c r="S62" s="89">
        <f>1651+94.39</f>
        <v>1745.39</v>
      </c>
      <c r="T62" s="89">
        <f>20.1+1834+44.6</f>
        <v>1898.6999999999998</v>
      </c>
      <c r="U62" s="89">
        <v>2617.9499999999998</v>
      </c>
      <c r="V62" s="112">
        <v>3740.489</v>
      </c>
      <c r="W62" s="89"/>
      <c r="X62" s="89"/>
      <c r="Y62" s="89">
        <v>16112.619999999999</v>
      </c>
      <c r="Z62" s="86">
        <v>8881.485999999999</v>
      </c>
    </row>
    <row r="63" spans="2:26" x14ac:dyDescent="0.2">
      <c r="B63" s="69" t="s">
        <v>21</v>
      </c>
      <c r="C63" s="30" t="s">
        <v>101</v>
      </c>
      <c r="D63" s="89"/>
      <c r="E63" s="89"/>
      <c r="F63" s="89"/>
      <c r="G63" s="89"/>
      <c r="H63" s="89"/>
      <c r="I63" s="89"/>
      <c r="J63" s="89"/>
      <c r="K63" s="89"/>
      <c r="L63" s="89"/>
      <c r="M63" s="89">
        <v>9191</v>
      </c>
      <c r="N63" s="89">
        <v>22403</v>
      </c>
      <c r="O63" s="89">
        <v>31255</v>
      </c>
      <c r="P63" s="89">
        <v>37523</v>
      </c>
      <c r="Q63" s="89">
        <v>31123.26</v>
      </c>
      <c r="R63" s="89">
        <v>1363.28</v>
      </c>
      <c r="S63" s="89">
        <v>28290.44</v>
      </c>
      <c r="T63" s="89">
        <v>38823.75</v>
      </c>
      <c r="U63" s="89">
        <v>24745.239999999998</v>
      </c>
      <c r="V63" s="112">
        <v>19610.272427500004</v>
      </c>
      <c r="W63" s="89"/>
      <c r="X63" s="89"/>
      <c r="Y63" s="89">
        <v>13801.108250000001</v>
      </c>
      <c r="Z63" s="86">
        <v>13369.689999999999</v>
      </c>
    </row>
    <row r="64" spans="2:26" x14ac:dyDescent="0.2">
      <c r="B64" s="69" t="s">
        <v>21</v>
      </c>
      <c r="C64" s="30" t="s">
        <v>100</v>
      </c>
      <c r="D64" s="89"/>
      <c r="E64" s="89"/>
      <c r="F64" s="89"/>
      <c r="G64" s="89"/>
      <c r="H64" s="89"/>
      <c r="I64" s="89">
        <v>155</v>
      </c>
      <c r="J64" s="89">
        <v>3657</v>
      </c>
      <c r="K64" s="89">
        <v>0</v>
      </c>
      <c r="L64" s="89">
        <f>3889+4880.74+208.5</f>
        <v>8978.24</v>
      </c>
      <c r="M64" s="89">
        <f>3038+4129.48+212</f>
        <v>7379.48</v>
      </c>
      <c r="N64" s="89">
        <f>1000+2400+4794.78+280+176.3</f>
        <v>8651.0799999999981</v>
      </c>
      <c r="O64" s="89">
        <f>1000+3686+706.51+2865.58+180</f>
        <v>8438.09</v>
      </c>
      <c r="P64" s="89">
        <f>600+3574.06</f>
        <v>4174.0599999999995</v>
      </c>
      <c r="Q64" s="89">
        <f>625+4815.31+3014</f>
        <v>8454.3100000000013</v>
      </c>
      <c r="R64" s="89">
        <f>626+5799.1</f>
        <v>6425.1</v>
      </c>
      <c r="S64" s="89">
        <f>457+4308.88+675.3</f>
        <v>5441.18</v>
      </c>
      <c r="T64" s="89">
        <f>457+5562</f>
        <v>6019</v>
      </c>
      <c r="U64" s="89">
        <v>8289</v>
      </c>
      <c r="V64" s="112">
        <v>8037.26</v>
      </c>
      <c r="W64" s="89"/>
      <c r="X64" s="89"/>
      <c r="Y64" s="89">
        <v>497</v>
      </c>
      <c r="Z64" s="86">
        <v>0</v>
      </c>
    </row>
    <row r="65" spans="2:29" x14ac:dyDescent="0.2">
      <c r="B65" s="71" t="s">
        <v>21</v>
      </c>
      <c r="C65" s="70" t="s">
        <v>173</v>
      </c>
      <c r="D65" s="91">
        <v>0</v>
      </c>
      <c r="E65" s="91">
        <v>0</v>
      </c>
      <c r="F65" s="91">
        <v>0</v>
      </c>
      <c r="G65" s="91">
        <v>0</v>
      </c>
      <c r="H65" s="91">
        <v>0</v>
      </c>
      <c r="I65" s="89">
        <v>30858.5498046875</v>
      </c>
      <c r="J65" s="89">
        <v>21606.94</v>
      </c>
      <c r="K65" s="89">
        <v>25068.99</v>
      </c>
      <c r="L65" s="89">
        <v>26029</v>
      </c>
      <c r="M65" s="89">
        <v>49993.62</v>
      </c>
      <c r="N65" s="89">
        <v>46739</v>
      </c>
      <c r="O65" s="89">
        <v>72708.87</v>
      </c>
      <c r="P65" s="89">
        <v>81337.320000000007</v>
      </c>
      <c r="Q65" s="89">
        <v>35967.75</v>
      </c>
      <c r="R65" s="89">
        <v>31235.86</v>
      </c>
      <c r="S65" s="89">
        <v>62654.049999999996</v>
      </c>
      <c r="T65" s="89">
        <v>74927.240000000005</v>
      </c>
      <c r="U65" s="89">
        <v>82630.080000000016</v>
      </c>
      <c r="V65" s="112">
        <v>68109.350000000006</v>
      </c>
      <c r="W65" s="89"/>
      <c r="X65" s="89"/>
      <c r="Y65" s="89">
        <v>8881.5</v>
      </c>
      <c r="Z65" s="86">
        <v>51518.6</v>
      </c>
    </row>
    <row r="66" spans="2:29" x14ac:dyDescent="0.2">
      <c r="B66" s="93" t="s">
        <v>24</v>
      </c>
      <c r="C66" s="94" t="s">
        <v>57</v>
      </c>
      <c r="D66" s="89">
        <v>0</v>
      </c>
      <c r="E66" s="89">
        <v>0</v>
      </c>
      <c r="F66" s="89">
        <v>2817.51</v>
      </c>
      <c r="G66" s="89">
        <v>9663.64</v>
      </c>
      <c r="H66" s="89">
        <v>15400</v>
      </c>
      <c r="I66" s="89">
        <v>5166.5800308734179</v>
      </c>
      <c r="J66" s="89">
        <v>9235.5601005554199</v>
      </c>
      <c r="K66" s="89">
        <v>16734.806670000002</v>
      </c>
      <c r="L66" s="89">
        <v>8440.3328999999994</v>
      </c>
      <c r="M66" s="89">
        <v>10725.38</v>
      </c>
      <c r="N66" s="89">
        <v>18121.138500000001</v>
      </c>
      <c r="O66" s="89">
        <v>10449.9</v>
      </c>
      <c r="P66" s="89">
        <v>10442.93</v>
      </c>
      <c r="Q66" s="89">
        <v>19391.84</v>
      </c>
      <c r="R66" s="89">
        <v>11420.67</v>
      </c>
      <c r="S66" s="89">
        <v>1102.0099999999998</v>
      </c>
      <c r="T66" s="89">
        <v>10699.114862870494</v>
      </c>
      <c r="U66" s="89">
        <v>3430.0299999999997</v>
      </c>
      <c r="V66" s="112">
        <v>6997.29</v>
      </c>
      <c r="W66" s="89"/>
      <c r="X66" s="89"/>
      <c r="Y66" s="89">
        <v>18572.339999999997</v>
      </c>
      <c r="Z66" s="86">
        <v>6516.99</v>
      </c>
    </row>
    <row r="67" spans="2:29" ht="13.9" customHeight="1" thickBot="1" x14ac:dyDescent="0.25">
      <c r="B67" s="121" t="s">
        <v>90</v>
      </c>
      <c r="C67" s="122"/>
      <c r="D67" s="17">
        <f t="shared" ref="D67:Z67" si="1">SUM(D56:D66)</f>
        <v>33141.699999999997</v>
      </c>
      <c r="E67" s="17">
        <f t="shared" si="1"/>
        <v>32245.55</v>
      </c>
      <c r="F67" s="17">
        <f t="shared" si="1"/>
        <v>351105.02</v>
      </c>
      <c r="G67" s="17">
        <f t="shared" si="1"/>
        <v>214829.25</v>
      </c>
      <c r="H67" s="17">
        <f t="shared" si="1"/>
        <v>146267</v>
      </c>
      <c r="I67" s="17">
        <f t="shared" si="1"/>
        <v>205448.1214899534</v>
      </c>
      <c r="J67" s="17">
        <f t="shared" si="1"/>
        <v>616975.48758544447</v>
      </c>
      <c r="K67" s="17">
        <f t="shared" si="1"/>
        <v>531820.95406999998</v>
      </c>
      <c r="L67" s="17">
        <f t="shared" si="1"/>
        <v>518548.38303333329</v>
      </c>
      <c r="M67" s="17">
        <f t="shared" si="1"/>
        <v>772231.15999999992</v>
      </c>
      <c r="N67" s="17">
        <f t="shared" si="1"/>
        <v>933194.5085</v>
      </c>
      <c r="O67" s="17">
        <f t="shared" si="1"/>
        <v>750336.26</v>
      </c>
      <c r="P67" s="17">
        <f t="shared" si="1"/>
        <v>573418.31000000006</v>
      </c>
      <c r="Q67" s="17">
        <f t="shared" si="1"/>
        <v>561654.91999999993</v>
      </c>
      <c r="R67" s="17">
        <f t="shared" si="1"/>
        <v>466910.03</v>
      </c>
      <c r="S67" s="17">
        <f t="shared" si="1"/>
        <v>380644.31191404571</v>
      </c>
      <c r="T67" s="17">
        <f t="shared" si="1"/>
        <v>624729.43466287048</v>
      </c>
      <c r="U67" s="17">
        <f t="shared" si="1"/>
        <v>558537.03500000015</v>
      </c>
      <c r="V67" s="13">
        <f t="shared" si="1"/>
        <v>332326.40653546288</v>
      </c>
      <c r="W67" s="13">
        <f t="shared" si="1"/>
        <v>0</v>
      </c>
      <c r="X67" s="13">
        <f t="shared" si="1"/>
        <v>0</v>
      </c>
      <c r="Y67" s="13">
        <f t="shared" si="1"/>
        <v>175898.1177375</v>
      </c>
      <c r="Z67" s="13">
        <f t="shared" si="1"/>
        <v>348789.26221327862</v>
      </c>
      <c r="AA67" s="115"/>
    </row>
    <row r="68" spans="2:29" ht="7.9" customHeight="1" thickBot="1" x14ac:dyDescent="0.25">
      <c r="C68" s="31"/>
      <c r="D68" s="8"/>
      <c r="E68" s="8"/>
      <c r="F68" s="8"/>
      <c r="G68" s="8"/>
      <c r="H68" s="8"/>
      <c r="I68" s="8"/>
      <c r="J68" s="8"/>
      <c r="K68" s="8"/>
      <c r="L68" s="8"/>
      <c r="O68" s="9"/>
      <c r="P68" s="9"/>
      <c r="Q68" s="9"/>
      <c r="V68" s="7"/>
      <c r="Z68" s="7"/>
    </row>
    <row r="69" spans="2:29" ht="13.5" thickBot="1" x14ac:dyDescent="0.25">
      <c r="B69" s="137" t="s">
        <v>111</v>
      </c>
      <c r="C69" s="138"/>
      <c r="D69" s="24">
        <f t="shared" ref="D69:Z69" si="2">D53+D67</f>
        <v>3884462.61</v>
      </c>
      <c r="E69" s="24">
        <f t="shared" si="2"/>
        <v>4262801.9400000004</v>
      </c>
      <c r="F69" s="24">
        <f t="shared" si="2"/>
        <v>4835779.43</v>
      </c>
      <c r="G69" s="24">
        <f t="shared" si="2"/>
        <v>5198124.0799999991</v>
      </c>
      <c r="H69" s="24">
        <f t="shared" si="2"/>
        <v>6225923</v>
      </c>
      <c r="I69" s="24">
        <f t="shared" si="2"/>
        <v>7057181.9293335639</v>
      </c>
      <c r="J69" s="24">
        <f t="shared" si="2"/>
        <v>7669482.1527374815</v>
      </c>
      <c r="K69" s="24">
        <f t="shared" si="2"/>
        <v>7278828.2780094324</v>
      </c>
      <c r="L69" s="24">
        <f t="shared" si="2"/>
        <v>6796168.9612333318</v>
      </c>
      <c r="M69" s="24">
        <f t="shared" si="2"/>
        <v>7424078.7599999998</v>
      </c>
      <c r="N69" s="24">
        <f t="shared" si="2"/>
        <v>8224149.4771000016</v>
      </c>
      <c r="O69" s="24">
        <f t="shared" si="2"/>
        <v>8241998.2800000003</v>
      </c>
      <c r="P69" s="24">
        <f t="shared" si="2"/>
        <v>7842115.8369999994</v>
      </c>
      <c r="Q69" s="24">
        <f t="shared" si="2"/>
        <v>7804744.6699999999</v>
      </c>
      <c r="R69" s="24">
        <f t="shared" si="2"/>
        <v>7618833.1413460327</v>
      </c>
      <c r="S69" s="24">
        <f t="shared" si="2"/>
        <v>7521872.9303884422</v>
      </c>
      <c r="T69" s="24">
        <f t="shared" si="2"/>
        <v>8045295.4692049269</v>
      </c>
      <c r="U69" s="24">
        <f t="shared" si="2"/>
        <v>8326843.6467574462</v>
      </c>
      <c r="V69" s="24">
        <f t="shared" si="2"/>
        <v>8676724.4799075667</v>
      </c>
      <c r="W69" s="24">
        <f t="shared" si="2"/>
        <v>0</v>
      </c>
      <c r="X69" s="24">
        <f t="shared" si="2"/>
        <v>0</v>
      </c>
      <c r="Y69" s="24">
        <f t="shared" si="2"/>
        <v>8582904.0079872049</v>
      </c>
      <c r="Z69" s="24">
        <f t="shared" si="2"/>
        <v>7736760.5955332294</v>
      </c>
      <c r="AA69" s="115"/>
    </row>
    <row r="70" spans="2:29" ht="7.9" customHeight="1" thickBot="1" x14ac:dyDescent="0.25">
      <c r="C70" s="31"/>
      <c r="D70" s="8"/>
      <c r="E70" s="8"/>
      <c r="F70" s="8"/>
      <c r="G70" s="8"/>
      <c r="H70" s="8"/>
      <c r="I70" s="8"/>
      <c r="J70" s="8"/>
      <c r="K70" s="8"/>
      <c r="L70" s="8"/>
      <c r="M70" s="8"/>
      <c r="N70" s="8"/>
      <c r="O70" s="8"/>
      <c r="P70" s="8"/>
      <c r="Q70" s="8"/>
      <c r="R70" s="8"/>
      <c r="S70" s="8"/>
      <c r="T70" s="8"/>
      <c r="U70" s="8"/>
      <c r="V70" s="8"/>
      <c r="W70" s="8"/>
      <c r="X70" s="8"/>
      <c r="Y70" s="8"/>
      <c r="Z70" s="8"/>
    </row>
    <row r="71" spans="2:29" x14ac:dyDescent="0.2">
      <c r="B71" s="68" t="s">
        <v>17</v>
      </c>
      <c r="C71" s="67" t="s">
        <v>63</v>
      </c>
      <c r="D71" s="21"/>
      <c r="E71" s="21"/>
      <c r="F71" s="21"/>
      <c r="G71" s="21"/>
      <c r="H71" s="21"/>
      <c r="I71" s="21"/>
      <c r="J71" s="21"/>
      <c r="K71" s="21"/>
      <c r="L71" s="21"/>
      <c r="M71" s="21"/>
      <c r="N71" s="21"/>
      <c r="O71" s="22"/>
      <c r="P71" s="22"/>
      <c r="Q71" s="22"/>
      <c r="R71" s="22"/>
      <c r="S71" s="22"/>
      <c r="T71" s="22"/>
      <c r="U71" s="22"/>
      <c r="V71" s="22"/>
      <c r="W71" s="22"/>
      <c r="X71" s="22"/>
      <c r="Y71" s="22"/>
      <c r="Z71" s="23"/>
    </row>
    <row r="72" spans="2:29" x14ac:dyDescent="0.2">
      <c r="B72" s="69" t="s">
        <v>95</v>
      </c>
      <c r="C72" s="30" t="s">
        <v>64</v>
      </c>
      <c r="D72" s="89">
        <v>4610914.3</v>
      </c>
      <c r="E72" s="89">
        <v>4611406</v>
      </c>
      <c r="F72" s="89">
        <v>4703879</v>
      </c>
      <c r="G72" s="89">
        <v>4805202</v>
      </c>
      <c r="H72" s="89">
        <v>4917870</v>
      </c>
      <c r="I72" s="89">
        <v>5060502</v>
      </c>
      <c r="J72" s="89">
        <v>5258076</v>
      </c>
      <c r="K72" s="89">
        <v>5309296</v>
      </c>
      <c r="L72" s="89">
        <v>4978496.25</v>
      </c>
      <c r="M72" s="89">
        <v>4613329.33</v>
      </c>
      <c r="N72" s="89">
        <v>4548275.0999999996</v>
      </c>
      <c r="O72" s="89">
        <v>4377843.12</v>
      </c>
      <c r="P72" s="89">
        <v>4396880.3899999997</v>
      </c>
      <c r="Q72" s="89">
        <v>4486592.41</v>
      </c>
      <c r="R72" s="89">
        <v>4590290</v>
      </c>
      <c r="S72" s="89">
        <v>4780385.18</v>
      </c>
      <c r="T72" s="89">
        <v>5095890.32</v>
      </c>
      <c r="U72" s="89">
        <v>5275557.5599999996</v>
      </c>
      <c r="V72" s="112">
        <v>5369115.3399999989</v>
      </c>
      <c r="W72" s="89"/>
      <c r="X72" s="89"/>
      <c r="Y72" s="89">
        <v>5814885.3099999996</v>
      </c>
      <c r="Z72" s="114">
        <v>5762747.7699999996</v>
      </c>
    </row>
    <row r="73" spans="2:29" ht="25.5" x14ac:dyDescent="0.2">
      <c r="B73" s="75" t="s">
        <v>95</v>
      </c>
      <c r="C73" s="72" t="s">
        <v>109</v>
      </c>
      <c r="D73" s="89">
        <v>1966188</v>
      </c>
      <c r="E73" s="89">
        <v>1646395</v>
      </c>
      <c r="F73" s="89">
        <v>1380396</v>
      </c>
      <c r="G73" s="89">
        <v>1316850</v>
      </c>
      <c r="H73" s="89">
        <v>1608217</v>
      </c>
      <c r="I73" s="89">
        <v>2635922</v>
      </c>
      <c r="J73" s="89">
        <v>2502637.9401999712</v>
      </c>
      <c r="K73" s="89">
        <v>2772995</v>
      </c>
      <c r="L73" s="89">
        <v>2538412.4900000007</v>
      </c>
      <c r="M73" s="89">
        <v>1513330.29</v>
      </c>
      <c r="N73" s="89">
        <v>2494773.1315000006</v>
      </c>
      <c r="O73" s="89">
        <v>1937810.04</v>
      </c>
      <c r="P73" s="89">
        <v>2738649.3899999997</v>
      </c>
      <c r="Q73" s="89">
        <v>3032947.01</v>
      </c>
      <c r="R73" s="89">
        <v>3556578.78</v>
      </c>
      <c r="S73" s="89">
        <v>3690467.35</v>
      </c>
      <c r="T73" s="89">
        <v>3773452.72</v>
      </c>
      <c r="U73" s="89">
        <v>3551258.0710000005</v>
      </c>
      <c r="V73" s="112">
        <v>3813946.37</v>
      </c>
      <c r="W73" s="89"/>
      <c r="X73" s="89"/>
      <c r="Y73" s="89">
        <v>3079781.4505125</v>
      </c>
      <c r="Z73" s="86">
        <v>4706955.8241823865</v>
      </c>
    </row>
    <row r="74" spans="2:29" x14ac:dyDescent="0.2">
      <c r="B74" s="76" t="s">
        <v>95</v>
      </c>
      <c r="C74" s="31" t="s">
        <v>97</v>
      </c>
      <c r="D74" s="8">
        <f>SUM(D72:D73)</f>
        <v>6577102.2999999998</v>
      </c>
      <c r="E74" s="8">
        <f t="shared" ref="E74:T74" si="3">SUM(E72:E73)</f>
        <v>6257801</v>
      </c>
      <c r="F74" s="8">
        <f t="shared" si="3"/>
        <v>6084275</v>
      </c>
      <c r="G74" s="8">
        <f t="shared" si="3"/>
        <v>6122052</v>
      </c>
      <c r="H74" s="8">
        <f t="shared" si="3"/>
        <v>6526087</v>
      </c>
      <c r="I74" s="8">
        <f>SUM(I72:I73)</f>
        <v>7696424</v>
      </c>
      <c r="J74" s="8">
        <f t="shared" si="3"/>
        <v>7760713.9401999712</v>
      </c>
      <c r="K74" s="8">
        <f t="shared" si="3"/>
        <v>8082291</v>
      </c>
      <c r="L74" s="8">
        <f t="shared" si="3"/>
        <v>7516908.7400000002</v>
      </c>
      <c r="M74" s="8">
        <f t="shared" si="3"/>
        <v>6126659.6200000001</v>
      </c>
      <c r="N74" s="8">
        <f t="shared" si="3"/>
        <v>7043048.2314999998</v>
      </c>
      <c r="O74" s="8">
        <f t="shared" si="3"/>
        <v>6315653.1600000001</v>
      </c>
      <c r="P74" s="8">
        <f t="shared" si="3"/>
        <v>7135529.7799999993</v>
      </c>
      <c r="Q74" s="8">
        <f t="shared" si="3"/>
        <v>7519539.4199999999</v>
      </c>
      <c r="R74" s="8">
        <f t="shared" si="3"/>
        <v>8146868.7799999993</v>
      </c>
      <c r="S74" s="8">
        <f t="shared" si="3"/>
        <v>8470852.5299999993</v>
      </c>
      <c r="T74" s="8">
        <f t="shared" si="3"/>
        <v>8869343.040000001</v>
      </c>
      <c r="U74" s="8">
        <f t="shared" ref="U74" si="4">SUM(U72:U73)</f>
        <v>8826815.631000001</v>
      </c>
      <c r="V74" s="8">
        <f>SUM(V72:V73)</f>
        <v>9183061.709999999</v>
      </c>
      <c r="W74" s="8">
        <f t="shared" ref="W74:Z74" si="5">SUM(W72:W73)</f>
        <v>0</v>
      </c>
      <c r="X74" s="8">
        <f t="shared" si="5"/>
        <v>0</v>
      </c>
      <c r="Y74" s="8">
        <f>SUM(Y72:Y73)</f>
        <v>8894666.7605124991</v>
      </c>
      <c r="Z74" s="8">
        <f t="shared" si="5"/>
        <v>10469703.594182387</v>
      </c>
      <c r="AA74" s="115"/>
    </row>
    <row r="75" spans="2:29" ht="7.9" customHeight="1" x14ac:dyDescent="0.2">
      <c r="B75" s="76"/>
      <c r="C75" s="31"/>
      <c r="D75" s="8"/>
      <c r="E75" s="8"/>
      <c r="F75" s="8"/>
      <c r="G75" s="8"/>
      <c r="H75" s="8"/>
      <c r="I75" s="8"/>
      <c r="J75" s="8"/>
      <c r="K75" s="8"/>
      <c r="L75" s="8"/>
      <c r="M75" s="8"/>
      <c r="N75" s="8"/>
      <c r="O75" s="8"/>
      <c r="P75" s="8"/>
      <c r="Q75" s="8"/>
      <c r="R75" s="8"/>
      <c r="S75" s="8"/>
      <c r="T75" s="8"/>
      <c r="U75" s="8"/>
      <c r="V75" s="8"/>
      <c r="W75" s="8"/>
      <c r="X75" s="8"/>
      <c r="Y75" s="8"/>
      <c r="Z75" s="12"/>
      <c r="AC75" s="2" t="s">
        <v>238</v>
      </c>
    </row>
    <row r="76" spans="2:29" x14ac:dyDescent="0.2">
      <c r="B76" s="76" t="s">
        <v>95</v>
      </c>
      <c r="C76" s="73" t="s">
        <v>67</v>
      </c>
      <c r="D76" s="99">
        <v>549239</v>
      </c>
      <c r="E76" s="99">
        <v>1192376</v>
      </c>
      <c r="F76" s="99">
        <v>1343941</v>
      </c>
      <c r="G76" s="99">
        <v>1350013</v>
      </c>
      <c r="H76" s="99">
        <v>2557428</v>
      </c>
      <c r="I76" s="99">
        <v>2736151</v>
      </c>
      <c r="J76" s="99">
        <v>1689840</v>
      </c>
      <c r="K76" s="99">
        <v>1810580</v>
      </c>
      <c r="L76" s="99">
        <v>1634267.82</v>
      </c>
      <c r="M76" s="99">
        <v>1550645.32</v>
      </c>
      <c r="N76" s="99">
        <v>1229534.7999999998</v>
      </c>
      <c r="O76" s="99">
        <v>1361117</v>
      </c>
      <c r="P76" s="99">
        <v>887805.12</v>
      </c>
      <c r="Q76" s="99">
        <v>1542176.62</v>
      </c>
      <c r="R76" s="99">
        <v>1525316.6</v>
      </c>
      <c r="S76" s="99">
        <v>1556186.13</v>
      </c>
      <c r="T76" s="99">
        <v>1206993.1599999995</v>
      </c>
      <c r="U76" s="99">
        <v>1479410.1199999999</v>
      </c>
      <c r="V76" s="113">
        <v>1015085.0500000002</v>
      </c>
      <c r="W76" s="99"/>
      <c r="X76" s="99"/>
      <c r="Y76" s="99">
        <v>1073256.5599999998</v>
      </c>
      <c r="Z76" s="100">
        <v>779449.42000000016</v>
      </c>
    </row>
    <row r="77" spans="2:29" ht="25.5" x14ac:dyDescent="0.2">
      <c r="B77" s="76" t="s">
        <v>95</v>
      </c>
      <c r="C77" s="31" t="s">
        <v>105</v>
      </c>
      <c r="D77" s="8">
        <f>SUM(D74:D76)</f>
        <v>7126341.2999999998</v>
      </c>
      <c r="E77" s="8">
        <f t="shared" ref="E77:T77" si="6">SUM(E74:E76)</f>
        <v>7450177</v>
      </c>
      <c r="F77" s="8">
        <f t="shared" si="6"/>
        <v>7428216</v>
      </c>
      <c r="G77" s="8">
        <f t="shared" si="6"/>
        <v>7472065</v>
      </c>
      <c r="H77" s="8">
        <f t="shared" si="6"/>
        <v>9083515</v>
      </c>
      <c r="I77" s="8">
        <f>SUM(I74:I76)</f>
        <v>10432575</v>
      </c>
      <c r="J77" s="8">
        <f t="shared" si="6"/>
        <v>9450553.9401999712</v>
      </c>
      <c r="K77" s="8">
        <f t="shared" si="6"/>
        <v>9892871</v>
      </c>
      <c r="L77" s="8">
        <f t="shared" si="6"/>
        <v>9151176.5600000005</v>
      </c>
      <c r="M77" s="8">
        <f t="shared" si="6"/>
        <v>7677304.9400000004</v>
      </c>
      <c r="N77" s="8">
        <f t="shared" si="6"/>
        <v>8272583.0314999996</v>
      </c>
      <c r="O77" s="8">
        <f t="shared" si="6"/>
        <v>7676770.1600000001</v>
      </c>
      <c r="P77" s="8">
        <f t="shared" si="6"/>
        <v>8023334.8999999994</v>
      </c>
      <c r="Q77" s="8">
        <f t="shared" si="6"/>
        <v>9061716.0399999991</v>
      </c>
      <c r="R77" s="8">
        <f t="shared" si="6"/>
        <v>9672185.379999999</v>
      </c>
      <c r="S77" s="8">
        <f t="shared" si="6"/>
        <v>10027038.66</v>
      </c>
      <c r="T77" s="8">
        <f t="shared" si="6"/>
        <v>10076336.200000001</v>
      </c>
      <c r="U77" s="8">
        <f t="shared" ref="U77" si="7">SUM(U74:U76)</f>
        <v>10306225.751</v>
      </c>
      <c r="V77" s="8">
        <f>SUM(V74:V76)</f>
        <v>10198146.76</v>
      </c>
      <c r="W77" s="8">
        <f t="shared" ref="W77:Z77" si="8">SUM(W74:W76)</f>
        <v>0</v>
      </c>
      <c r="X77" s="8">
        <f t="shared" si="8"/>
        <v>0</v>
      </c>
      <c r="Y77" s="8">
        <f>SUM(Y74:Y76)</f>
        <v>9967923.3205124997</v>
      </c>
      <c r="Z77" s="118">
        <f t="shared" si="8"/>
        <v>11249153.014182387</v>
      </c>
    </row>
    <row r="78" spans="2:29" ht="7.9" customHeight="1" x14ac:dyDescent="0.2">
      <c r="B78" s="77"/>
      <c r="C78" s="74"/>
      <c r="D78" s="51"/>
      <c r="E78" s="51"/>
      <c r="F78" s="51"/>
      <c r="G78" s="51"/>
      <c r="H78" s="51"/>
      <c r="I78" s="51"/>
      <c r="J78" s="51"/>
      <c r="K78" s="51"/>
      <c r="L78" s="51"/>
      <c r="M78" s="51"/>
      <c r="N78" s="51"/>
      <c r="O78" s="51"/>
      <c r="P78" s="51"/>
      <c r="Q78" s="51"/>
      <c r="R78" s="51"/>
      <c r="S78" s="51"/>
      <c r="T78" s="51"/>
      <c r="U78" s="51"/>
      <c r="V78" s="51"/>
      <c r="W78" s="51"/>
      <c r="X78" s="51"/>
      <c r="Y78" s="51"/>
      <c r="Z78" s="52"/>
    </row>
    <row r="79" spans="2:29" x14ac:dyDescent="0.2">
      <c r="B79" s="123" t="s">
        <v>10</v>
      </c>
      <c r="C79" s="124"/>
      <c r="D79" s="8">
        <f>D69+D74</f>
        <v>10461564.91</v>
      </c>
      <c r="E79" s="8">
        <f t="shared" ref="E79:T79" si="9">E69+E74</f>
        <v>10520602.940000001</v>
      </c>
      <c r="F79" s="8">
        <f t="shared" si="9"/>
        <v>10920054.43</v>
      </c>
      <c r="G79" s="8">
        <f>G69+G74</f>
        <v>11320176.079999998</v>
      </c>
      <c r="H79" s="8">
        <f t="shared" si="9"/>
        <v>12752010</v>
      </c>
      <c r="I79" s="8">
        <f t="shared" si="9"/>
        <v>14753605.929333564</v>
      </c>
      <c r="J79" s="8">
        <f t="shared" si="9"/>
        <v>15430196.092937453</v>
      </c>
      <c r="K79" s="8">
        <f t="shared" si="9"/>
        <v>15361119.278009433</v>
      </c>
      <c r="L79" s="8">
        <f t="shared" si="9"/>
        <v>14313077.701233331</v>
      </c>
      <c r="M79" s="8">
        <f t="shared" si="9"/>
        <v>13550738.379999999</v>
      </c>
      <c r="N79" s="8">
        <f t="shared" si="9"/>
        <v>15267197.708600001</v>
      </c>
      <c r="O79" s="8">
        <f t="shared" si="9"/>
        <v>14557651.440000001</v>
      </c>
      <c r="P79" s="8">
        <f t="shared" si="9"/>
        <v>14977645.616999999</v>
      </c>
      <c r="Q79" s="8">
        <f t="shared" si="9"/>
        <v>15324284.09</v>
      </c>
      <c r="R79" s="8">
        <f t="shared" si="9"/>
        <v>15765701.921346031</v>
      </c>
      <c r="S79" s="8">
        <f t="shared" si="9"/>
        <v>15992725.460388441</v>
      </c>
      <c r="T79" s="8">
        <f t="shared" si="9"/>
        <v>16914638.509204928</v>
      </c>
      <c r="U79" s="8">
        <f>U69+U74</f>
        <v>17153659.277757447</v>
      </c>
      <c r="V79" s="8">
        <f>V69+V74</f>
        <v>17859786.189907566</v>
      </c>
      <c r="W79" s="8">
        <f t="shared" ref="W79:Z79" si="10">W69+W74</f>
        <v>0</v>
      </c>
      <c r="X79" s="8">
        <f t="shared" si="10"/>
        <v>0</v>
      </c>
      <c r="Y79" s="8">
        <f>Y69+Y74</f>
        <v>17477570.768499702</v>
      </c>
      <c r="Z79" s="116">
        <f t="shared" si="10"/>
        <v>18206464.189715616</v>
      </c>
    </row>
    <row r="80" spans="2:29" s="1" customFormat="1" ht="27" customHeight="1" thickBot="1" x14ac:dyDescent="0.25">
      <c r="B80" s="125" t="s">
        <v>106</v>
      </c>
      <c r="C80" s="126"/>
      <c r="D80" s="13">
        <f t="shared" ref="D80:T80" si="11">D69+D77</f>
        <v>11010803.91</v>
      </c>
      <c r="E80" s="13">
        <f t="shared" si="11"/>
        <v>11712978.940000001</v>
      </c>
      <c r="F80" s="13">
        <f t="shared" si="11"/>
        <v>12263995.43</v>
      </c>
      <c r="G80" s="13">
        <f>G69+G77</f>
        <v>12670189.079999998</v>
      </c>
      <c r="H80" s="13">
        <f>H69+H77</f>
        <v>15309438</v>
      </c>
      <c r="I80" s="13">
        <f t="shared" si="11"/>
        <v>17489756.929333564</v>
      </c>
      <c r="J80" s="13">
        <f t="shared" si="11"/>
        <v>17120036.092937455</v>
      </c>
      <c r="K80" s="13">
        <f t="shared" si="11"/>
        <v>17171699.278009433</v>
      </c>
      <c r="L80" s="13">
        <f t="shared" si="11"/>
        <v>15947345.521233331</v>
      </c>
      <c r="M80" s="13">
        <f t="shared" si="11"/>
        <v>15101383.699999999</v>
      </c>
      <c r="N80" s="13">
        <f t="shared" si="11"/>
        <v>16496732.5086</v>
      </c>
      <c r="O80" s="13">
        <f t="shared" si="11"/>
        <v>15918768.440000001</v>
      </c>
      <c r="P80" s="13">
        <f t="shared" si="11"/>
        <v>15865450.737</v>
      </c>
      <c r="Q80" s="13">
        <f t="shared" si="11"/>
        <v>16866460.710000001</v>
      </c>
      <c r="R80" s="13">
        <f t="shared" si="11"/>
        <v>17291018.521346033</v>
      </c>
      <c r="S80" s="13">
        <f t="shared" si="11"/>
        <v>17548911.590388443</v>
      </c>
      <c r="T80" s="13">
        <f t="shared" si="11"/>
        <v>18121631.669204928</v>
      </c>
      <c r="U80" s="13">
        <f>U69+U77</f>
        <v>18633069.397757448</v>
      </c>
      <c r="V80" s="13">
        <f>V69+V77</f>
        <v>18874871.239907566</v>
      </c>
      <c r="W80" s="13">
        <f t="shared" ref="W80:Z80" si="12">W69+W77</f>
        <v>0</v>
      </c>
      <c r="X80" s="13">
        <f t="shared" si="12"/>
        <v>0</v>
      </c>
      <c r="Y80" s="13">
        <f>Y69+Y77</f>
        <v>18550827.328499705</v>
      </c>
      <c r="Z80" s="14">
        <f t="shared" si="12"/>
        <v>18985913.609715618</v>
      </c>
    </row>
    <row r="81" spans="2:26" ht="13.5" thickBot="1" x14ac:dyDescent="0.25">
      <c r="O81" s="9"/>
      <c r="P81" s="9"/>
      <c r="Q81" s="9"/>
    </row>
    <row r="82" spans="2:26" s="1" customFormat="1" ht="13.5" thickBot="1" x14ac:dyDescent="0.25">
      <c r="B82" s="137" t="s">
        <v>15</v>
      </c>
      <c r="C82" s="138"/>
      <c r="D82" s="40">
        <f>D69/D79</f>
        <v>0.37130798722922609</v>
      </c>
      <c r="E82" s="40">
        <f t="shared" ref="E82:T82" si="13">E69/E79</f>
        <v>0.40518608717686289</v>
      </c>
      <c r="F82" s="40">
        <f t="shared" si="13"/>
        <v>0.44283473685945718</v>
      </c>
      <c r="G82" s="40">
        <f>G69/G79</f>
        <v>0.45919109767062916</v>
      </c>
      <c r="H82" s="40">
        <f t="shared" si="13"/>
        <v>0.48823071813776808</v>
      </c>
      <c r="I82" s="40">
        <f t="shared" si="13"/>
        <v>0.47833607344101975</v>
      </c>
      <c r="J82" s="40">
        <f t="shared" si="13"/>
        <v>0.49704372559775029</v>
      </c>
      <c r="K82" s="40">
        <f t="shared" si="13"/>
        <v>0.4738475202408986</v>
      </c>
      <c r="L82" s="40">
        <f t="shared" si="13"/>
        <v>0.47482233402867075</v>
      </c>
      <c r="M82" s="40">
        <f t="shared" si="13"/>
        <v>0.5478726362954105</v>
      </c>
      <c r="N82" s="40">
        <f t="shared" si="13"/>
        <v>0.53868100970928967</v>
      </c>
      <c r="O82" s="40">
        <f t="shared" si="13"/>
        <v>0.5661626337166924</v>
      </c>
      <c r="P82" s="40">
        <f t="shared" si="13"/>
        <v>0.52358802161128737</v>
      </c>
      <c r="Q82" s="40">
        <f t="shared" si="13"/>
        <v>0.50930566310063752</v>
      </c>
      <c r="R82" s="40">
        <f t="shared" si="13"/>
        <v>0.48325365907308476</v>
      </c>
      <c r="S82" s="40">
        <f t="shared" si="13"/>
        <v>0.4703308981961194</v>
      </c>
      <c r="T82" s="40">
        <f t="shared" si="13"/>
        <v>0.47564099373608759</v>
      </c>
      <c r="U82" s="40">
        <f t="shared" ref="U82" si="14">U69/U79</f>
        <v>0.48542666680773905</v>
      </c>
      <c r="V82" s="40">
        <f>V69/V79</f>
        <v>0.48582465588589857</v>
      </c>
      <c r="W82" s="40"/>
      <c r="X82" s="40"/>
      <c r="Y82" s="40">
        <f>Y69/Y79</f>
        <v>0.49108106164595855</v>
      </c>
      <c r="Z82" s="41">
        <f t="shared" ref="Z82" si="15">Z69/Z79</f>
        <v>0.42494580578163743</v>
      </c>
    </row>
    <row r="83" spans="2:26" s="1" customFormat="1" ht="13.5" thickBot="1" x14ac:dyDescent="0.25">
      <c r="B83" s="2"/>
      <c r="C83" s="31"/>
      <c r="D83" s="49"/>
      <c r="E83" s="49"/>
      <c r="F83" s="49"/>
      <c r="G83" s="49"/>
      <c r="H83" s="49"/>
      <c r="I83" s="49"/>
      <c r="J83" s="49"/>
      <c r="K83" s="49"/>
      <c r="L83" s="49"/>
      <c r="M83" s="49"/>
      <c r="N83" s="49"/>
      <c r="O83" s="49"/>
      <c r="P83" s="49"/>
      <c r="Q83" s="49"/>
      <c r="R83" s="49"/>
      <c r="S83" s="49"/>
      <c r="T83" s="49"/>
      <c r="U83" s="49"/>
      <c r="V83" s="49"/>
      <c r="W83" s="49"/>
      <c r="X83" s="49"/>
      <c r="Y83" s="49"/>
      <c r="Z83" s="49"/>
    </row>
    <row r="84" spans="2:26" s="1" customFormat="1" ht="13.15" customHeight="1" x14ac:dyDescent="0.2">
      <c r="B84" s="135" t="s">
        <v>108</v>
      </c>
      <c r="C84" s="136"/>
      <c r="D84" s="53"/>
      <c r="E84" s="53"/>
      <c r="F84" s="53"/>
      <c r="G84" s="53"/>
      <c r="H84" s="53"/>
      <c r="I84" s="53"/>
      <c r="J84" s="53"/>
      <c r="K84" s="53"/>
      <c r="L84" s="53"/>
      <c r="M84" s="53"/>
      <c r="N84" s="53"/>
      <c r="O84" s="54"/>
      <c r="P84" s="54"/>
      <c r="Q84" s="54"/>
      <c r="R84" s="54"/>
      <c r="S84" s="54"/>
      <c r="T84" s="54"/>
      <c r="U84" s="54"/>
      <c r="V84" s="54"/>
      <c r="W84" s="54"/>
      <c r="X84" s="54"/>
      <c r="Y84" s="54"/>
      <c r="Z84" s="55"/>
    </row>
    <row r="85" spans="2:26" ht="13.15" customHeight="1" x14ac:dyDescent="0.2">
      <c r="B85" s="129" t="s">
        <v>112</v>
      </c>
      <c r="C85" s="130"/>
      <c r="D85" s="25">
        <f>D69/D89/365*2000</f>
        <v>3.6111656317359428</v>
      </c>
      <c r="E85" s="25">
        <f t="shared" ref="E85:T85" si="16">E69/E89/365*2000</f>
        <v>3.9122362677591362</v>
      </c>
      <c r="F85" s="25">
        <f t="shared" si="16"/>
        <v>4.3727297192445187</v>
      </c>
      <c r="G85" s="25">
        <f t="shared" si="16"/>
        <v>4.6488097800627743</v>
      </c>
      <c r="H85" s="25">
        <f t="shared" si="16"/>
        <v>5.4948007959598932</v>
      </c>
      <c r="I85" s="25">
        <f t="shared" si="16"/>
        <v>6.1391865817783229</v>
      </c>
      <c r="J85" s="25">
        <f t="shared" si="16"/>
        <v>6.5456582931247818</v>
      </c>
      <c r="K85" s="25">
        <f t="shared" si="16"/>
        <v>6.1123756271240399</v>
      </c>
      <c r="L85" s="25">
        <f t="shared" si="16"/>
        <v>5.6352850064572051</v>
      </c>
      <c r="M85" s="25">
        <f t="shared" si="16"/>
        <v>6.0968645295364343</v>
      </c>
      <c r="N85" s="25">
        <f t="shared" si="16"/>
        <v>6.7014000587747091</v>
      </c>
      <c r="O85" s="25">
        <f t="shared" si="16"/>
        <v>6.6729169182403565</v>
      </c>
      <c r="P85" s="25">
        <f t="shared" si="16"/>
        <v>6.302720352400609</v>
      </c>
      <c r="Q85" s="25">
        <f t="shared" si="16"/>
        <v>6.2137806897562013</v>
      </c>
      <c r="R85" s="25">
        <f t="shared" si="16"/>
        <v>5.991103964381626</v>
      </c>
      <c r="S85" s="25">
        <f t="shared" si="16"/>
        <v>5.8367581098279562</v>
      </c>
      <c r="T85" s="25">
        <f t="shared" si="16"/>
        <v>6.1366441792062565</v>
      </c>
      <c r="U85" s="25">
        <f>U69/U89/365*2000</f>
        <v>6.2414046660434979</v>
      </c>
      <c r="V85" s="25">
        <f>V69/V89/365*2000</f>
        <v>6.4009757942793453</v>
      </c>
      <c r="W85" s="25"/>
      <c r="X85" s="25"/>
      <c r="Y85" s="25">
        <f>Y69/Y89/365*2000</f>
        <v>6.1426831852184662</v>
      </c>
      <c r="Z85" s="26">
        <f>Z69/Z89/365*2000</f>
        <v>5.3905204138456631</v>
      </c>
    </row>
    <row r="86" spans="2:26" ht="27" customHeight="1" x14ac:dyDescent="0.2">
      <c r="B86" s="131" t="s">
        <v>13</v>
      </c>
      <c r="C86" s="132"/>
      <c r="D86" s="56">
        <f t="shared" ref="D86:H86" si="17">D74/D89/365*2000</f>
        <v>6.1143607666676507</v>
      </c>
      <c r="E86" s="56">
        <f t="shared" si="17"/>
        <v>5.7431699556323714</v>
      </c>
      <c r="F86" s="56">
        <f t="shared" si="17"/>
        <v>5.501675685931037</v>
      </c>
      <c r="G86" s="56">
        <f t="shared" si="17"/>
        <v>5.4751011660446691</v>
      </c>
      <c r="H86" s="56">
        <f t="shared" si="17"/>
        <v>5.7597159557070512</v>
      </c>
      <c r="I86" s="56">
        <f>I74/I89/365*2000</f>
        <v>6.6952763045657546</v>
      </c>
      <c r="J86" s="56">
        <f t="shared" ref="J86:T86" si="18">J74/J89/365*2000</f>
        <v>6.6235217126240116</v>
      </c>
      <c r="K86" s="56">
        <f t="shared" si="18"/>
        <v>6.7870811939575155</v>
      </c>
      <c r="L86" s="56">
        <f t="shared" si="18"/>
        <v>6.2329120066111301</v>
      </c>
      <c r="M86" s="56">
        <f t="shared" si="18"/>
        <v>5.0313870487172965</v>
      </c>
      <c r="N86" s="56">
        <f t="shared" si="18"/>
        <v>5.7389866227443944</v>
      </c>
      <c r="O86" s="56">
        <f t="shared" si="18"/>
        <v>5.1133023072048207</v>
      </c>
      <c r="P86" s="56">
        <f t="shared" si="18"/>
        <v>5.7348360703086909</v>
      </c>
      <c r="Q86" s="56">
        <f t="shared" si="18"/>
        <v>5.9867133159984025</v>
      </c>
      <c r="R86" s="56">
        <f t="shared" si="18"/>
        <v>6.4063271815573284</v>
      </c>
      <c r="S86" s="56">
        <f t="shared" si="18"/>
        <v>6.5731391183021328</v>
      </c>
      <c r="T86" s="56">
        <f t="shared" si="18"/>
        <v>6.7651962004545689</v>
      </c>
      <c r="U86" s="56">
        <f t="shared" ref="U86" si="19">U74/U89/365*2000</f>
        <v>6.6161598082945083</v>
      </c>
      <c r="V86" s="56">
        <f>V74/V89/365*2000</f>
        <v>6.7745098809118423</v>
      </c>
      <c r="W86" s="56"/>
      <c r="X86" s="56"/>
      <c r="Y86" s="56">
        <f>Y74/Y89/365*2000</f>
        <v>6.3658081107602635</v>
      </c>
      <c r="Z86" s="119">
        <f t="shared" ref="Z86" si="20">Z74/Z89/365*2000</f>
        <v>7.2946745933869401</v>
      </c>
    </row>
    <row r="87" spans="2:26" ht="27" customHeight="1" x14ac:dyDescent="0.2">
      <c r="B87" s="129" t="s">
        <v>99</v>
      </c>
      <c r="C87" s="130"/>
      <c r="D87" s="25">
        <f t="shared" ref="D87:T87" si="21">D85+D86</f>
        <v>9.7255263984035931</v>
      </c>
      <c r="E87" s="25">
        <f t="shared" si="21"/>
        <v>9.6554062233915072</v>
      </c>
      <c r="F87" s="25">
        <f t="shared" si="21"/>
        <v>9.8744054051755548</v>
      </c>
      <c r="G87" s="25">
        <f t="shared" si="21"/>
        <v>10.123910946107443</v>
      </c>
      <c r="H87" s="25">
        <f t="shared" si="21"/>
        <v>11.254516751666944</v>
      </c>
      <c r="I87" s="25">
        <f t="shared" si="21"/>
        <v>12.834462886344078</v>
      </c>
      <c r="J87" s="25">
        <f t="shared" si="21"/>
        <v>13.169180005748792</v>
      </c>
      <c r="K87" s="25">
        <f t="shared" si="21"/>
        <v>12.899456821081555</v>
      </c>
      <c r="L87" s="25">
        <f t="shared" si="21"/>
        <v>11.868197013068336</v>
      </c>
      <c r="M87" s="25">
        <f t="shared" si="21"/>
        <v>11.128251578253732</v>
      </c>
      <c r="N87" s="25">
        <f t="shared" si="21"/>
        <v>12.440386681519104</v>
      </c>
      <c r="O87" s="25">
        <f t="shared" si="21"/>
        <v>11.786219225445176</v>
      </c>
      <c r="P87" s="25">
        <f t="shared" si="21"/>
        <v>12.037556422709301</v>
      </c>
      <c r="Q87" s="25">
        <f t="shared" si="21"/>
        <v>12.200494005754603</v>
      </c>
      <c r="R87" s="25">
        <f t="shared" si="21"/>
        <v>12.397431145938954</v>
      </c>
      <c r="S87" s="25">
        <f t="shared" si="21"/>
        <v>12.409897228130088</v>
      </c>
      <c r="T87" s="25">
        <f t="shared" si="21"/>
        <v>12.901840379660825</v>
      </c>
      <c r="U87" s="25">
        <f t="shared" ref="U87" si="22">U85+U86</f>
        <v>12.857564474338005</v>
      </c>
      <c r="V87" s="25">
        <f>V85+V86</f>
        <v>13.175485675191187</v>
      </c>
      <c r="W87" s="25"/>
      <c r="X87" s="25"/>
      <c r="Y87" s="25">
        <f>Y85+Y86</f>
        <v>12.508491295978729</v>
      </c>
      <c r="Z87" s="26">
        <f t="shared" ref="Z87" si="23">Z85+Z86</f>
        <v>12.685195007232604</v>
      </c>
    </row>
    <row r="88" spans="2:26" ht="7.9" customHeight="1" x14ac:dyDescent="0.2">
      <c r="B88" s="102"/>
      <c r="C88" s="66"/>
      <c r="D88" s="15"/>
      <c r="E88" s="15"/>
      <c r="F88" s="15"/>
      <c r="G88" s="15"/>
      <c r="H88" s="15"/>
      <c r="I88" s="15"/>
      <c r="J88" s="15"/>
      <c r="K88" s="15"/>
      <c r="L88" s="15"/>
      <c r="M88" s="15"/>
      <c r="N88" s="15"/>
      <c r="O88" s="15"/>
      <c r="P88" s="15"/>
      <c r="Q88" s="15"/>
      <c r="R88" s="15"/>
      <c r="S88" s="15"/>
      <c r="T88" s="15"/>
      <c r="U88" s="15"/>
      <c r="V88" s="25"/>
      <c r="W88" s="15"/>
      <c r="X88" s="15"/>
      <c r="Y88" s="15"/>
      <c r="Z88" s="26"/>
    </row>
    <row r="89" spans="2:26" s="1" customFormat="1" ht="13.15" customHeight="1" thickBot="1" x14ac:dyDescent="0.3">
      <c r="B89" s="133" t="s">
        <v>16</v>
      </c>
      <c r="C89" s="134"/>
      <c r="D89" s="96">
        <v>5894143</v>
      </c>
      <c r="E89" s="96">
        <v>5970452</v>
      </c>
      <c r="F89" s="96">
        <v>6059698</v>
      </c>
      <c r="G89" s="96">
        <v>6126917</v>
      </c>
      <c r="H89" s="96">
        <v>6208532</v>
      </c>
      <c r="I89" s="97">
        <v>6298797</v>
      </c>
      <c r="J89" s="97">
        <v>6420219</v>
      </c>
      <c r="K89" s="97">
        <v>6525121</v>
      </c>
      <c r="L89" s="97">
        <v>6608234</v>
      </c>
      <c r="M89" s="97">
        <v>6672263</v>
      </c>
      <c r="N89" s="97">
        <v>6724540</v>
      </c>
      <c r="O89" s="97">
        <v>6767900</v>
      </c>
      <c r="P89" s="97">
        <v>6817770</v>
      </c>
      <c r="Q89" s="97">
        <v>6882400</v>
      </c>
      <c r="R89" s="97">
        <v>6968170</v>
      </c>
      <c r="S89" s="97">
        <v>7061410</v>
      </c>
      <c r="T89" s="97">
        <v>7183700</v>
      </c>
      <c r="U89" s="97">
        <v>7310300</v>
      </c>
      <c r="V89" s="111">
        <v>7427570</v>
      </c>
      <c r="W89" s="111"/>
      <c r="X89" s="111"/>
      <c r="Y89" s="111">
        <v>7656200</v>
      </c>
      <c r="Z89" s="98">
        <v>7864400</v>
      </c>
    </row>
    <row r="91" spans="2:26" ht="13.5" thickBot="1" x14ac:dyDescent="0.25">
      <c r="C91" s="50"/>
    </row>
    <row r="92" spans="2:26" s="27" customFormat="1" ht="13.15" customHeight="1" x14ac:dyDescent="0.2">
      <c r="B92" s="81" t="s">
        <v>17</v>
      </c>
      <c r="C92" s="78" t="s">
        <v>107</v>
      </c>
      <c r="D92" s="34"/>
      <c r="E92" s="34"/>
      <c r="F92" s="34"/>
      <c r="G92" s="34"/>
      <c r="H92" s="34"/>
      <c r="I92" s="34"/>
      <c r="J92" s="35"/>
      <c r="K92" s="35"/>
      <c r="L92" s="34"/>
      <c r="M92" s="34"/>
      <c r="N92" s="34"/>
      <c r="O92" s="34"/>
      <c r="P92" s="34"/>
      <c r="Q92" s="34"/>
      <c r="R92" s="34"/>
      <c r="S92" s="34"/>
      <c r="T92" s="34"/>
      <c r="U92" s="34"/>
      <c r="V92" s="34"/>
      <c r="W92" s="34"/>
      <c r="X92" s="34"/>
      <c r="Y92" s="34"/>
      <c r="Z92" s="36"/>
    </row>
    <row r="93" spans="2:26" s="27" customFormat="1" ht="15" x14ac:dyDescent="0.25">
      <c r="B93" s="82" t="s">
        <v>19</v>
      </c>
      <c r="C93" s="79" t="s">
        <v>70</v>
      </c>
      <c r="D93" s="95">
        <v>1257</v>
      </c>
      <c r="E93" s="95">
        <v>1975</v>
      </c>
      <c r="F93" s="95">
        <v>76629.09</v>
      </c>
      <c r="G93" s="95">
        <v>11926.86</v>
      </c>
      <c r="H93" s="95">
        <v>5853</v>
      </c>
      <c r="I93" s="89">
        <v>1928.9000244140625</v>
      </c>
      <c r="J93" s="89">
        <v>1120.1300010681152</v>
      </c>
      <c r="K93" s="89">
        <v>1374</v>
      </c>
      <c r="L93" s="89">
        <v>0</v>
      </c>
      <c r="M93" s="89">
        <v>150.91</v>
      </c>
      <c r="N93" s="89">
        <v>8360.2900000000009</v>
      </c>
      <c r="O93" s="89">
        <v>1839.22</v>
      </c>
      <c r="P93" s="89">
        <v>2971.5</v>
      </c>
      <c r="Q93" s="89">
        <v>5688.54</v>
      </c>
      <c r="R93" s="89">
        <v>8846.17</v>
      </c>
      <c r="S93" s="89">
        <v>7616.66</v>
      </c>
      <c r="T93" s="89">
        <v>12813.119999999999</v>
      </c>
      <c r="U93" s="89">
        <v>11656.3</v>
      </c>
      <c r="V93" s="112">
        <v>737.94</v>
      </c>
      <c r="W93" s="89"/>
      <c r="X93" s="89"/>
      <c r="Y93" s="89">
        <v>230631.70000000004</v>
      </c>
      <c r="Z93" s="86">
        <v>13166.289999999999</v>
      </c>
    </row>
    <row r="94" spans="2:26" s="27" customFormat="1" ht="15" x14ac:dyDescent="0.25">
      <c r="B94" s="82" t="s">
        <v>18</v>
      </c>
      <c r="C94" s="79" t="s">
        <v>62</v>
      </c>
      <c r="D94" s="95">
        <v>40</v>
      </c>
      <c r="E94" s="95">
        <v>86.6</v>
      </c>
      <c r="F94" s="95">
        <v>433.54</v>
      </c>
      <c r="G94" s="95">
        <v>388.67</v>
      </c>
      <c r="H94" s="95">
        <v>688</v>
      </c>
      <c r="I94" s="89">
        <v>912.49999308586121</v>
      </c>
      <c r="J94" s="89">
        <v>1050.9299921989441</v>
      </c>
      <c r="K94" s="89">
        <v>344</v>
      </c>
      <c r="L94" s="89">
        <v>928</v>
      </c>
      <c r="M94" s="89">
        <v>552.07000000000005</v>
      </c>
      <c r="N94" s="89">
        <v>207.18</v>
      </c>
      <c r="O94" s="89">
        <v>179.66</v>
      </c>
      <c r="P94" s="89">
        <v>375.67</v>
      </c>
      <c r="Q94" s="89">
        <v>668.38</v>
      </c>
      <c r="R94" s="89">
        <v>175.58</v>
      </c>
      <c r="S94" s="89">
        <v>255.57</v>
      </c>
      <c r="T94" s="89">
        <v>111.55</v>
      </c>
      <c r="U94" s="89">
        <v>4.12</v>
      </c>
      <c r="V94" s="112">
        <v>4.87</v>
      </c>
      <c r="W94" s="89"/>
      <c r="X94" s="89"/>
      <c r="Y94" s="89">
        <v>39.53</v>
      </c>
      <c r="Z94" s="86">
        <v>2301.3333476426665</v>
      </c>
    </row>
    <row r="95" spans="2:26" s="27" customFormat="1" ht="13.15" customHeight="1" x14ac:dyDescent="0.25">
      <c r="B95" s="83" t="s">
        <v>21</v>
      </c>
      <c r="C95" s="80" t="s">
        <v>91</v>
      </c>
      <c r="D95" s="95"/>
      <c r="E95" s="95"/>
      <c r="F95" s="95"/>
      <c r="G95" s="95"/>
      <c r="H95" s="95"/>
      <c r="I95" s="89"/>
      <c r="J95" s="89"/>
      <c r="K95" s="89"/>
      <c r="L95" s="89"/>
      <c r="M95" s="89"/>
      <c r="N95" s="89">
        <v>402</v>
      </c>
      <c r="O95" s="89">
        <v>429.08</v>
      </c>
      <c r="P95" s="89">
        <v>3683.89</v>
      </c>
      <c r="Q95" s="89">
        <v>6631.87</v>
      </c>
      <c r="R95" s="89">
        <v>804.3</v>
      </c>
      <c r="S95" s="89">
        <v>439</v>
      </c>
      <c r="T95" s="89">
        <v>5804.15</v>
      </c>
      <c r="U95" s="89">
        <v>23.41</v>
      </c>
      <c r="V95" s="112">
        <v>4308.24</v>
      </c>
      <c r="W95" s="89"/>
      <c r="X95" s="89"/>
      <c r="Y95" s="89">
        <v>11553.46</v>
      </c>
      <c r="Z95" s="86">
        <v>4263.91</v>
      </c>
    </row>
    <row r="96" spans="2:26" s="27" customFormat="1" ht="13.15" customHeight="1" x14ac:dyDescent="0.25">
      <c r="B96" s="83" t="s">
        <v>20</v>
      </c>
      <c r="C96" s="80" t="s">
        <v>236</v>
      </c>
      <c r="D96" s="95"/>
      <c r="E96" s="95"/>
      <c r="F96" s="95"/>
      <c r="G96" s="95"/>
      <c r="H96" s="95"/>
      <c r="I96" s="89"/>
      <c r="J96" s="89"/>
      <c r="K96" s="89"/>
      <c r="L96" s="89"/>
      <c r="M96" s="89"/>
      <c r="N96" s="89"/>
      <c r="O96" s="89"/>
      <c r="P96" s="89"/>
      <c r="Q96" s="89"/>
      <c r="R96" s="89"/>
      <c r="S96" s="89"/>
      <c r="T96" s="89"/>
      <c r="U96" s="89"/>
      <c r="V96" s="112"/>
      <c r="W96" s="89"/>
      <c r="X96" s="89"/>
      <c r="Y96" s="89">
        <v>1</v>
      </c>
      <c r="Z96" s="86">
        <v>0</v>
      </c>
    </row>
    <row r="97" spans="2:26" s="27" customFormat="1" ht="15" x14ac:dyDescent="0.25">
      <c r="B97" s="82" t="s">
        <v>24</v>
      </c>
      <c r="C97" s="79" t="s">
        <v>60</v>
      </c>
      <c r="D97" s="95">
        <v>524</v>
      </c>
      <c r="E97" s="95">
        <v>600.79999999999995</v>
      </c>
      <c r="F97" s="95">
        <v>79.06</v>
      </c>
      <c r="G97" s="95">
        <v>918.43</v>
      </c>
      <c r="H97" s="95">
        <v>738</v>
      </c>
      <c r="I97" s="89">
        <v>2891.4200282096863</v>
      </c>
      <c r="J97" s="89">
        <v>804.40000915527344</v>
      </c>
      <c r="K97" s="89">
        <v>4346.3899999999994</v>
      </c>
      <c r="L97" s="89">
        <v>2678.37</v>
      </c>
      <c r="M97" s="89">
        <v>22001.38</v>
      </c>
      <c r="N97" s="89">
        <v>6163.56</v>
      </c>
      <c r="O97" s="89">
        <v>15050.09</v>
      </c>
      <c r="P97" s="89">
        <v>5455.35</v>
      </c>
      <c r="Q97" s="89">
        <v>2593.21</v>
      </c>
      <c r="R97" s="89">
        <v>19180.53</v>
      </c>
      <c r="S97" s="89">
        <v>7659.4800000000023</v>
      </c>
      <c r="T97" s="89">
        <v>19248.68</v>
      </c>
      <c r="U97" s="89">
        <v>15282.710000000001</v>
      </c>
      <c r="V97" s="112">
        <v>1793.7400000000002</v>
      </c>
      <c r="W97" s="89"/>
      <c r="X97" s="89"/>
      <c r="Y97" s="89">
        <v>585.86</v>
      </c>
      <c r="Z97" s="86">
        <v>11306.8</v>
      </c>
    </row>
    <row r="98" spans="2:26" s="27" customFormat="1" ht="15" x14ac:dyDescent="0.25">
      <c r="B98" s="82" t="s">
        <v>24</v>
      </c>
      <c r="C98" s="79" t="s">
        <v>61</v>
      </c>
      <c r="D98" s="95">
        <v>198</v>
      </c>
      <c r="E98" s="95">
        <v>334.07</v>
      </c>
      <c r="F98" s="95">
        <v>309.52999999999997</v>
      </c>
      <c r="G98" s="95">
        <v>7488.07</v>
      </c>
      <c r="H98" s="95">
        <v>521</v>
      </c>
      <c r="I98" s="89">
        <v>435</v>
      </c>
      <c r="J98" s="89">
        <v>627</v>
      </c>
      <c r="K98" s="89">
        <v>286</v>
      </c>
      <c r="L98" s="89">
        <v>105</v>
      </c>
      <c r="M98" s="89">
        <v>4148.49</v>
      </c>
      <c r="N98" s="89">
        <v>5036.2299999999996</v>
      </c>
      <c r="O98" s="89">
        <v>0</v>
      </c>
      <c r="P98" s="89">
        <v>0</v>
      </c>
      <c r="Q98" s="89">
        <v>0</v>
      </c>
      <c r="R98" s="89">
        <v>0</v>
      </c>
      <c r="S98" s="89">
        <v>0</v>
      </c>
      <c r="T98" s="89">
        <v>0</v>
      </c>
      <c r="U98" s="89">
        <v>0</v>
      </c>
      <c r="V98" s="112">
        <v>3654.8599999999992</v>
      </c>
      <c r="W98" s="89"/>
      <c r="X98" s="89"/>
      <c r="Y98" s="89">
        <v>20947.22</v>
      </c>
      <c r="Z98" s="86">
        <v>7.7900000000000009</v>
      </c>
    </row>
    <row r="99" spans="2:26" s="27" customFormat="1" ht="15" x14ac:dyDescent="0.25">
      <c r="B99" s="82" t="s">
        <v>24</v>
      </c>
      <c r="C99" s="79" t="s">
        <v>237</v>
      </c>
      <c r="D99" s="95"/>
      <c r="E99" s="95"/>
      <c r="F99" s="95"/>
      <c r="G99" s="95"/>
      <c r="H99" s="95"/>
      <c r="I99" s="89"/>
      <c r="J99" s="89"/>
      <c r="K99" s="89"/>
      <c r="L99" s="89"/>
      <c r="M99" s="89"/>
      <c r="N99" s="89"/>
      <c r="O99" s="89"/>
      <c r="P99" s="89"/>
      <c r="Q99" s="89"/>
      <c r="R99" s="89"/>
      <c r="S99" s="89"/>
      <c r="T99" s="89"/>
      <c r="U99" s="89"/>
      <c r="V99" s="112"/>
      <c r="W99" s="89"/>
      <c r="X99" s="89"/>
      <c r="Y99" s="89">
        <v>85</v>
      </c>
      <c r="Z99" s="86">
        <v>0</v>
      </c>
    </row>
    <row r="100" spans="2:26" s="27" customFormat="1" ht="15" x14ac:dyDescent="0.25">
      <c r="B100" s="82" t="s">
        <v>24</v>
      </c>
      <c r="C100" s="79" t="s">
        <v>71</v>
      </c>
      <c r="D100" s="95">
        <v>0</v>
      </c>
      <c r="E100" s="95">
        <v>1009</v>
      </c>
      <c r="F100" s="95">
        <v>1170</v>
      </c>
      <c r="G100" s="95">
        <v>12976.22</v>
      </c>
      <c r="H100" s="95">
        <v>251</v>
      </c>
      <c r="I100" s="89">
        <v>4088.5</v>
      </c>
      <c r="J100" s="89">
        <v>13265.500147804618</v>
      </c>
      <c r="K100" s="89">
        <v>4764.0899999999992</v>
      </c>
      <c r="L100" s="89">
        <v>3829.1700000000005</v>
      </c>
      <c r="M100" s="89">
        <v>6164.3</v>
      </c>
      <c r="N100" s="89">
        <v>10834.1675</v>
      </c>
      <c r="O100" s="89">
        <v>7812.93</v>
      </c>
      <c r="P100" s="89">
        <v>7059.12</v>
      </c>
      <c r="Q100" s="89">
        <v>8442.14</v>
      </c>
      <c r="R100" s="89">
        <v>6511.87</v>
      </c>
      <c r="S100" s="89">
        <v>6759.4600000000009</v>
      </c>
      <c r="T100" s="89">
        <v>4527.2610386176366</v>
      </c>
      <c r="U100" s="89">
        <v>5363.62</v>
      </c>
      <c r="V100" s="112">
        <v>7045.64</v>
      </c>
      <c r="W100" s="89"/>
      <c r="X100" s="89"/>
      <c r="Y100" s="89">
        <v>2691.1300000000006</v>
      </c>
      <c r="Z100" s="86">
        <v>3116.83</v>
      </c>
    </row>
    <row r="101" spans="2:26" s="28" customFormat="1" ht="13.5" thickBot="1" x14ac:dyDescent="0.25">
      <c r="B101" s="127" t="s">
        <v>96</v>
      </c>
      <c r="C101" s="128"/>
      <c r="D101" s="37">
        <f t="shared" ref="D101:T101" si="24">SUM(D93:D100)</f>
        <v>2019</v>
      </c>
      <c r="E101" s="37">
        <f t="shared" si="24"/>
        <v>4005.47</v>
      </c>
      <c r="F101" s="37">
        <f t="shared" si="24"/>
        <v>78621.219999999987</v>
      </c>
      <c r="G101" s="37">
        <f t="shared" si="24"/>
        <v>33698.25</v>
      </c>
      <c r="H101" s="37">
        <f t="shared" si="24"/>
        <v>8051</v>
      </c>
      <c r="I101" s="37">
        <f t="shared" si="24"/>
        <v>10256.32004570961</v>
      </c>
      <c r="J101" s="37">
        <f t="shared" si="24"/>
        <v>16867.960150226951</v>
      </c>
      <c r="K101" s="37">
        <f t="shared" si="24"/>
        <v>11114.48</v>
      </c>
      <c r="L101" s="37">
        <f t="shared" si="24"/>
        <v>7540.5400000000009</v>
      </c>
      <c r="M101" s="37">
        <f t="shared" si="24"/>
        <v>33017.15</v>
      </c>
      <c r="N101" s="37">
        <f t="shared" si="24"/>
        <v>31003.427500000002</v>
      </c>
      <c r="O101" s="37">
        <f t="shared" si="24"/>
        <v>25310.98</v>
      </c>
      <c r="P101" s="37">
        <f t="shared" si="24"/>
        <v>19545.53</v>
      </c>
      <c r="Q101" s="37">
        <f t="shared" si="24"/>
        <v>24024.14</v>
      </c>
      <c r="R101" s="37">
        <f t="shared" si="24"/>
        <v>35518.449999999997</v>
      </c>
      <c r="S101" s="37">
        <f t="shared" si="24"/>
        <v>22730.170000000006</v>
      </c>
      <c r="T101" s="37">
        <f t="shared" si="24"/>
        <v>42504.761038617638</v>
      </c>
      <c r="U101" s="37">
        <f>SUM(U93:U100)</f>
        <v>32330.16</v>
      </c>
      <c r="V101" s="37">
        <f>SUM(V93:V100)</f>
        <v>17545.29</v>
      </c>
      <c r="W101" s="37">
        <f t="shared" ref="W101:Z101" si="25">SUM(W93:W100)</f>
        <v>0</v>
      </c>
      <c r="X101" s="37">
        <f t="shared" si="25"/>
        <v>0</v>
      </c>
      <c r="Y101" s="37">
        <f>SUM(Y93:Y100)</f>
        <v>266534.90000000002</v>
      </c>
      <c r="Z101" s="38">
        <f t="shared" si="25"/>
        <v>34162.953347642666</v>
      </c>
    </row>
    <row r="102" spans="2:26" s="18" customFormat="1" x14ac:dyDescent="0.2">
      <c r="C102" s="32"/>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sheetData>
  <sortState xmlns:xlrd2="http://schemas.microsoft.com/office/spreadsheetml/2017/richdata2" ref="B54:T62">
    <sortCondition ref="B54:B62"/>
  </sortState>
  <mergeCells count="12">
    <mergeCell ref="B53:C53"/>
    <mergeCell ref="B79:C79"/>
    <mergeCell ref="B80:C80"/>
    <mergeCell ref="B101:C101"/>
    <mergeCell ref="B85:C85"/>
    <mergeCell ref="B86:C86"/>
    <mergeCell ref="B87:C87"/>
    <mergeCell ref="B89:C89"/>
    <mergeCell ref="B84:C84"/>
    <mergeCell ref="B82:C82"/>
    <mergeCell ref="B69:C69"/>
    <mergeCell ref="B67:C67"/>
  </mergeCells>
  <pageMargins left="0.7" right="0.7" top="0.75" bottom="0.75" header="0.3" footer="0.3"/>
  <pageSetup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sheetPr>
  <dimension ref="A1:Y54"/>
  <sheetViews>
    <sheetView showGridLines="0" topLeftCell="A3" zoomScale="80" zoomScaleNormal="80" workbookViewId="0">
      <selection activeCell="P65" sqref="P65"/>
    </sheetView>
  </sheetViews>
  <sheetFormatPr defaultRowHeight="12.75" x14ac:dyDescent="0.2"/>
  <cols>
    <col min="1" max="1" width="3.28515625" customWidth="1"/>
    <col min="2" max="2" width="65.140625" customWidth="1"/>
    <col min="3" max="21" width="12" customWidth="1"/>
    <col min="22" max="23" width="12" hidden="1" customWidth="1"/>
    <col min="24" max="24" width="12" customWidth="1"/>
    <col min="25" max="25" width="12.28515625" bestFit="1" customWidth="1"/>
  </cols>
  <sheetData>
    <row r="1" spans="1:25" x14ac:dyDescent="0.2">
      <c r="A1" s="109" t="s">
        <v>242</v>
      </c>
    </row>
    <row r="2" spans="1:25" ht="15.75" x14ac:dyDescent="0.25">
      <c r="B2" s="58" t="s">
        <v>103</v>
      </c>
    </row>
    <row r="4" spans="1:25" x14ac:dyDescent="0.2">
      <c r="B4" s="1" t="s">
        <v>11</v>
      </c>
      <c r="C4" s="10">
        <v>2000</v>
      </c>
      <c r="D4" s="10">
        <v>2001</v>
      </c>
      <c r="E4" s="10">
        <v>2002</v>
      </c>
      <c r="F4" s="10">
        <v>2003</v>
      </c>
      <c r="G4" s="10">
        <v>2004</v>
      </c>
      <c r="H4" s="10">
        <v>2005</v>
      </c>
      <c r="I4" s="10">
        <v>2006</v>
      </c>
      <c r="J4" s="10">
        <v>2007</v>
      </c>
      <c r="K4" s="10">
        <v>2008</v>
      </c>
      <c r="L4" s="10">
        <v>2009</v>
      </c>
      <c r="M4" s="10">
        <v>2010</v>
      </c>
      <c r="N4" s="11">
        <v>2011</v>
      </c>
      <c r="O4" s="11">
        <v>2012</v>
      </c>
      <c r="P4" s="11">
        <v>2013</v>
      </c>
      <c r="Q4" s="11">
        <v>2014</v>
      </c>
      <c r="R4" s="11">
        <v>2015</v>
      </c>
      <c r="S4" s="11">
        <v>2016</v>
      </c>
      <c r="T4" s="11">
        <v>2017</v>
      </c>
      <c r="U4" s="11">
        <v>2018</v>
      </c>
      <c r="V4" s="11">
        <v>2019</v>
      </c>
      <c r="W4" s="11">
        <v>2020</v>
      </c>
      <c r="X4">
        <v>2021</v>
      </c>
      <c r="Y4" s="11">
        <v>2022</v>
      </c>
    </row>
    <row r="5" spans="1:25" ht="26.45" customHeight="1" x14ac:dyDescent="0.2">
      <c r="B5" s="39" t="s">
        <v>10</v>
      </c>
      <c r="C5" s="8">
        <f>'1-Waste Gen Recovery Data'!D79</f>
        <v>10461564.91</v>
      </c>
      <c r="D5" s="8">
        <f>'1-Waste Gen Recovery Data'!E79</f>
        <v>10520602.940000001</v>
      </c>
      <c r="E5" s="8">
        <f>'1-Waste Gen Recovery Data'!F79</f>
        <v>10920054.43</v>
      </c>
      <c r="F5" s="8">
        <f>'1-Waste Gen Recovery Data'!G79</f>
        <v>11320176.079999998</v>
      </c>
      <c r="G5" s="8">
        <f>'1-Waste Gen Recovery Data'!H79</f>
        <v>12752010</v>
      </c>
      <c r="H5" s="8">
        <f>'1-Waste Gen Recovery Data'!I79</f>
        <v>14753605.929333564</v>
      </c>
      <c r="I5" s="8">
        <f>'1-Waste Gen Recovery Data'!J79</f>
        <v>15430196.092937453</v>
      </c>
      <c r="J5" s="8">
        <f>'1-Waste Gen Recovery Data'!K79</f>
        <v>15361119.278009433</v>
      </c>
      <c r="K5" s="8">
        <f>'1-Waste Gen Recovery Data'!L79</f>
        <v>14313077.701233331</v>
      </c>
      <c r="L5" s="8">
        <f>'1-Waste Gen Recovery Data'!M79</f>
        <v>13550738.379999999</v>
      </c>
      <c r="M5" s="8">
        <f>'1-Waste Gen Recovery Data'!N79</f>
        <v>15267197.708600001</v>
      </c>
      <c r="N5" s="8">
        <f>'1-Waste Gen Recovery Data'!O79</f>
        <v>14557651.440000001</v>
      </c>
      <c r="O5" s="8">
        <f>'1-Waste Gen Recovery Data'!P79</f>
        <v>14977645.616999999</v>
      </c>
      <c r="P5" s="8">
        <f>'1-Waste Gen Recovery Data'!Q79</f>
        <v>15324284.09</v>
      </c>
      <c r="Q5" s="8">
        <f>'1-Waste Gen Recovery Data'!R79</f>
        <v>15765701.921346031</v>
      </c>
      <c r="R5" s="8">
        <f>'1-Waste Gen Recovery Data'!S79</f>
        <v>15992725.460388441</v>
      </c>
      <c r="S5" s="8">
        <f>'1-Waste Gen Recovery Data'!T79</f>
        <v>16914638.509204928</v>
      </c>
      <c r="T5" s="8">
        <f>'1-Waste Gen Recovery Data'!U79</f>
        <v>17153659.277757447</v>
      </c>
      <c r="U5" s="8">
        <f>'1-Waste Gen Recovery Data'!V79</f>
        <v>17859786.189907566</v>
      </c>
      <c r="V5" s="8"/>
      <c r="W5" s="8"/>
      <c r="X5" s="8">
        <f>'1-Waste Gen Recovery Data'!Y79</f>
        <v>17477570.768499702</v>
      </c>
      <c r="Y5" s="8">
        <f>'1-Waste Gen Recovery Data'!Z79</f>
        <v>18206464.189715616</v>
      </c>
    </row>
    <row r="6" spans="1:25" x14ac:dyDescent="0.2">
      <c r="B6" s="39" t="s">
        <v>16</v>
      </c>
      <c r="C6" s="3">
        <f>'1-Waste Gen Recovery Data'!D89</f>
        <v>5894143</v>
      </c>
      <c r="D6" s="3">
        <f>'1-Waste Gen Recovery Data'!E89</f>
        <v>5970452</v>
      </c>
      <c r="E6" s="3">
        <f>'1-Waste Gen Recovery Data'!F89</f>
        <v>6059698</v>
      </c>
      <c r="F6" s="3">
        <f>'1-Waste Gen Recovery Data'!G89</f>
        <v>6126917</v>
      </c>
      <c r="G6" s="3">
        <f>'1-Waste Gen Recovery Data'!H89</f>
        <v>6208532</v>
      </c>
      <c r="H6" s="3">
        <f>'1-Waste Gen Recovery Data'!I89</f>
        <v>6298797</v>
      </c>
      <c r="I6" s="3">
        <f>'1-Waste Gen Recovery Data'!J89</f>
        <v>6420219</v>
      </c>
      <c r="J6" s="3">
        <f>'1-Waste Gen Recovery Data'!K89</f>
        <v>6525121</v>
      </c>
      <c r="K6" s="3">
        <f>'1-Waste Gen Recovery Data'!L89</f>
        <v>6608234</v>
      </c>
      <c r="L6" s="3">
        <f>'1-Waste Gen Recovery Data'!M89</f>
        <v>6672263</v>
      </c>
      <c r="M6" s="3">
        <f>'1-Waste Gen Recovery Data'!N89</f>
        <v>6724540</v>
      </c>
      <c r="N6" s="3">
        <f>'1-Waste Gen Recovery Data'!O89</f>
        <v>6767900</v>
      </c>
      <c r="O6" s="3">
        <f>'1-Waste Gen Recovery Data'!P89</f>
        <v>6817770</v>
      </c>
      <c r="P6" s="3">
        <f>'1-Waste Gen Recovery Data'!Q89</f>
        <v>6882400</v>
      </c>
      <c r="Q6" s="3">
        <f>'1-Waste Gen Recovery Data'!R89</f>
        <v>6968170</v>
      </c>
      <c r="R6" s="3">
        <f>'1-Waste Gen Recovery Data'!S89</f>
        <v>7061410</v>
      </c>
      <c r="S6" s="3">
        <f>'1-Waste Gen Recovery Data'!T89</f>
        <v>7183700</v>
      </c>
      <c r="T6" s="3">
        <f>'1-Waste Gen Recovery Data'!U89</f>
        <v>7310300</v>
      </c>
      <c r="U6" s="3">
        <f>'1-Waste Gen Recovery Data'!V89</f>
        <v>7427570</v>
      </c>
      <c r="V6" s="3"/>
      <c r="W6" s="3"/>
      <c r="X6" s="3">
        <f>'1-Waste Gen Recovery Data'!Y89</f>
        <v>7656200</v>
      </c>
      <c r="Y6" s="3">
        <f>'1-Waste Gen Recovery Data'!Z89</f>
        <v>7864400</v>
      </c>
    </row>
    <row r="7" spans="1:25" x14ac:dyDescent="0.2">
      <c r="B7" s="29" t="s">
        <v>112</v>
      </c>
      <c r="C7" s="25">
        <f>'1-Waste Gen Recovery Data'!D85</f>
        <v>3.6111656317359428</v>
      </c>
      <c r="D7" s="25">
        <f>'1-Waste Gen Recovery Data'!E85</f>
        <v>3.9122362677591362</v>
      </c>
      <c r="E7" s="25">
        <f>'1-Waste Gen Recovery Data'!F85</f>
        <v>4.3727297192445187</v>
      </c>
      <c r="F7" s="25">
        <f>'1-Waste Gen Recovery Data'!G85</f>
        <v>4.6488097800627743</v>
      </c>
      <c r="G7" s="25">
        <f>'1-Waste Gen Recovery Data'!H85</f>
        <v>5.4948007959598932</v>
      </c>
      <c r="H7" s="25">
        <f>'1-Waste Gen Recovery Data'!I85</f>
        <v>6.1391865817783229</v>
      </c>
      <c r="I7" s="25">
        <f>'1-Waste Gen Recovery Data'!J85</f>
        <v>6.5456582931247818</v>
      </c>
      <c r="J7" s="25">
        <f>'1-Waste Gen Recovery Data'!K85</f>
        <v>6.1123756271240399</v>
      </c>
      <c r="K7" s="25">
        <f>'1-Waste Gen Recovery Data'!L85</f>
        <v>5.6352850064572051</v>
      </c>
      <c r="L7" s="25">
        <f>'1-Waste Gen Recovery Data'!M85</f>
        <v>6.0968645295364343</v>
      </c>
      <c r="M7" s="25">
        <f>'1-Waste Gen Recovery Data'!N85</f>
        <v>6.7014000587747091</v>
      </c>
      <c r="N7" s="25">
        <f>'1-Waste Gen Recovery Data'!O85</f>
        <v>6.6729169182403565</v>
      </c>
      <c r="O7" s="25">
        <f>'1-Waste Gen Recovery Data'!P85</f>
        <v>6.302720352400609</v>
      </c>
      <c r="P7" s="25">
        <f>'1-Waste Gen Recovery Data'!Q85</f>
        <v>6.2137806897562013</v>
      </c>
      <c r="Q7" s="25">
        <f>'1-Waste Gen Recovery Data'!R85</f>
        <v>5.991103964381626</v>
      </c>
      <c r="R7" s="25">
        <f>'1-Waste Gen Recovery Data'!S85</f>
        <v>5.8367581098279562</v>
      </c>
      <c r="S7" s="25">
        <f>'1-Waste Gen Recovery Data'!T85</f>
        <v>6.1366441792062565</v>
      </c>
      <c r="T7" s="25">
        <f>'1-Waste Gen Recovery Data'!U85</f>
        <v>6.2414046660434979</v>
      </c>
      <c r="U7" s="25">
        <f>'1-Waste Gen Recovery Data'!V85</f>
        <v>6.4009757942793453</v>
      </c>
      <c r="V7" s="25"/>
      <c r="W7" s="25"/>
      <c r="X7" s="25">
        <f>'1-Waste Gen Recovery Data'!Y85</f>
        <v>6.1426831852184662</v>
      </c>
      <c r="Y7" s="25">
        <f>'1-Waste Gen Recovery Data'!Z85</f>
        <v>5.3905204138456631</v>
      </c>
    </row>
    <row r="8" spans="1:25" x14ac:dyDescent="0.2">
      <c r="B8" s="29" t="s">
        <v>114</v>
      </c>
      <c r="C8" s="25">
        <f>'1-Waste Gen Recovery Data'!D86</f>
        <v>6.1143607666676507</v>
      </c>
      <c r="D8" s="25">
        <f>'1-Waste Gen Recovery Data'!E86</f>
        <v>5.7431699556323714</v>
      </c>
      <c r="E8" s="25">
        <f>'1-Waste Gen Recovery Data'!F86</f>
        <v>5.501675685931037</v>
      </c>
      <c r="F8" s="25">
        <f>'1-Waste Gen Recovery Data'!G86</f>
        <v>5.4751011660446691</v>
      </c>
      <c r="G8" s="25">
        <f>'1-Waste Gen Recovery Data'!H86</f>
        <v>5.7597159557070512</v>
      </c>
      <c r="H8" s="25">
        <f>'1-Waste Gen Recovery Data'!I86</f>
        <v>6.6952763045657546</v>
      </c>
      <c r="I8" s="25">
        <f>'1-Waste Gen Recovery Data'!J86</f>
        <v>6.6235217126240116</v>
      </c>
      <c r="J8" s="25">
        <f>'1-Waste Gen Recovery Data'!K86</f>
        <v>6.7870811939575155</v>
      </c>
      <c r="K8" s="25">
        <f>'1-Waste Gen Recovery Data'!L86</f>
        <v>6.2329120066111301</v>
      </c>
      <c r="L8" s="25">
        <f>'1-Waste Gen Recovery Data'!M86</f>
        <v>5.0313870487172965</v>
      </c>
      <c r="M8" s="25">
        <f>'1-Waste Gen Recovery Data'!N86</f>
        <v>5.7389866227443944</v>
      </c>
      <c r="N8" s="25">
        <f>'1-Waste Gen Recovery Data'!O86</f>
        <v>5.1133023072048207</v>
      </c>
      <c r="O8" s="25">
        <f>'1-Waste Gen Recovery Data'!P86</f>
        <v>5.7348360703086909</v>
      </c>
      <c r="P8" s="25">
        <f>'1-Waste Gen Recovery Data'!Q86</f>
        <v>5.9867133159984025</v>
      </c>
      <c r="Q8" s="25">
        <f>'1-Waste Gen Recovery Data'!R86</f>
        <v>6.4063271815573284</v>
      </c>
      <c r="R8" s="25">
        <f>'1-Waste Gen Recovery Data'!S86</f>
        <v>6.5731391183021328</v>
      </c>
      <c r="S8" s="25">
        <f>'1-Waste Gen Recovery Data'!T86</f>
        <v>6.7651962004545689</v>
      </c>
      <c r="T8" s="25">
        <f>'1-Waste Gen Recovery Data'!U86</f>
        <v>6.6161598082945083</v>
      </c>
      <c r="U8" s="25">
        <f>'1-Waste Gen Recovery Data'!V86</f>
        <v>6.7745098809118423</v>
      </c>
      <c r="V8" s="25"/>
      <c r="W8" s="25"/>
      <c r="X8" s="25">
        <f>'1-Waste Gen Recovery Data'!Y86</f>
        <v>6.3658081107602635</v>
      </c>
      <c r="Y8" s="25">
        <f>'1-Waste Gen Recovery Data'!Z86</f>
        <v>7.2946745933869401</v>
      </c>
    </row>
    <row r="9" spans="1:25" x14ac:dyDescent="0.2">
      <c r="B9" s="29" t="s">
        <v>99</v>
      </c>
      <c r="C9" s="25">
        <f>'1-Waste Gen Recovery Data'!D87</f>
        <v>9.7255263984035931</v>
      </c>
      <c r="D9" s="25">
        <f>'1-Waste Gen Recovery Data'!E87</f>
        <v>9.6554062233915072</v>
      </c>
      <c r="E9" s="25">
        <f>'1-Waste Gen Recovery Data'!F87</f>
        <v>9.8744054051755548</v>
      </c>
      <c r="F9" s="25">
        <f>'1-Waste Gen Recovery Data'!G87</f>
        <v>10.123910946107443</v>
      </c>
      <c r="G9" s="25">
        <f>'1-Waste Gen Recovery Data'!H87</f>
        <v>11.254516751666944</v>
      </c>
      <c r="H9" s="25">
        <f>'1-Waste Gen Recovery Data'!I87</f>
        <v>12.834462886344078</v>
      </c>
      <c r="I9" s="25">
        <f>'1-Waste Gen Recovery Data'!J87</f>
        <v>13.169180005748792</v>
      </c>
      <c r="J9" s="25">
        <f>'1-Waste Gen Recovery Data'!K87</f>
        <v>12.899456821081555</v>
      </c>
      <c r="K9" s="25">
        <f>'1-Waste Gen Recovery Data'!L87</f>
        <v>11.868197013068336</v>
      </c>
      <c r="L9" s="25">
        <f>'1-Waste Gen Recovery Data'!M87</f>
        <v>11.128251578253732</v>
      </c>
      <c r="M9" s="25">
        <f>'1-Waste Gen Recovery Data'!N87</f>
        <v>12.440386681519104</v>
      </c>
      <c r="N9" s="25">
        <f>'1-Waste Gen Recovery Data'!O87</f>
        <v>11.786219225445176</v>
      </c>
      <c r="O9" s="25">
        <f>'1-Waste Gen Recovery Data'!P87</f>
        <v>12.037556422709301</v>
      </c>
      <c r="P9" s="25">
        <f>'1-Waste Gen Recovery Data'!Q87</f>
        <v>12.200494005754603</v>
      </c>
      <c r="Q9" s="25">
        <f>'1-Waste Gen Recovery Data'!R87</f>
        <v>12.397431145938954</v>
      </c>
      <c r="R9" s="25">
        <f>'1-Waste Gen Recovery Data'!S87</f>
        <v>12.409897228130088</v>
      </c>
      <c r="S9" s="25">
        <f>'1-Waste Gen Recovery Data'!T87</f>
        <v>12.901840379660825</v>
      </c>
      <c r="T9" s="25">
        <f>'1-Waste Gen Recovery Data'!U87</f>
        <v>12.857564474338005</v>
      </c>
      <c r="U9" s="25">
        <f>'1-Waste Gen Recovery Data'!V87</f>
        <v>13.175485675191187</v>
      </c>
      <c r="V9" s="25"/>
      <c r="W9" s="25"/>
      <c r="X9" s="25">
        <f>'1-Waste Gen Recovery Data'!Y87</f>
        <v>12.508491295978729</v>
      </c>
      <c r="Y9" s="25">
        <f>'1-Waste Gen Recovery Data'!Z87</f>
        <v>12.685195007232604</v>
      </c>
    </row>
    <row r="10" spans="1:25" x14ac:dyDescent="0.2">
      <c r="B10" s="29"/>
      <c r="C10" s="25"/>
      <c r="D10" s="25"/>
      <c r="E10" s="25"/>
      <c r="F10" s="25"/>
      <c r="G10" s="25"/>
      <c r="H10" s="25"/>
      <c r="I10" s="25"/>
      <c r="J10" s="25"/>
      <c r="K10" s="25"/>
      <c r="L10" s="25"/>
      <c r="M10" s="25"/>
      <c r="N10" s="25"/>
      <c r="O10" s="25"/>
      <c r="P10" s="25"/>
      <c r="Q10" s="25"/>
      <c r="R10" s="25"/>
      <c r="S10" s="25"/>
      <c r="T10" s="25"/>
      <c r="U10" s="25"/>
      <c r="V10" s="25"/>
      <c r="W10" s="25"/>
      <c r="X10" s="25"/>
    </row>
    <row r="11" spans="1:25" s="59" customFormat="1" x14ac:dyDescent="0.2">
      <c r="B11" s="60" t="s">
        <v>116</v>
      </c>
      <c r="C11" s="61"/>
      <c r="D11" s="84">
        <f t="shared" ref="D11:R11" si="0">(D6-$C$6)/$C$6</f>
        <v>1.2946581038159407E-2</v>
      </c>
      <c r="E11" s="84">
        <f t="shared" si="0"/>
        <v>2.8088052834822637E-2</v>
      </c>
      <c r="F11" s="84">
        <f t="shared" si="0"/>
        <v>3.9492424937772976E-2</v>
      </c>
      <c r="G11" s="84">
        <f t="shared" si="0"/>
        <v>5.3339221664625375E-2</v>
      </c>
      <c r="H11" s="84">
        <f t="shared" si="0"/>
        <v>6.8653576949184975E-2</v>
      </c>
      <c r="I11" s="84">
        <f t="shared" si="0"/>
        <v>8.925402726062126E-2</v>
      </c>
      <c r="J11" s="84">
        <f t="shared" si="0"/>
        <v>0.1070516952167601</v>
      </c>
      <c r="K11" s="84">
        <f t="shared" si="0"/>
        <v>0.12115264254701659</v>
      </c>
      <c r="L11" s="84">
        <f t="shared" si="0"/>
        <v>0.13201579941307837</v>
      </c>
      <c r="M11" s="84">
        <f t="shared" si="0"/>
        <v>0.14088511256004477</v>
      </c>
      <c r="N11" s="84">
        <f t="shared" si="0"/>
        <v>0.14824156794295626</v>
      </c>
      <c r="O11" s="84">
        <f t="shared" si="0"/>
        <v>0.15670250959299767</v>
      </c>
      <c r="P11" s="84">
        <f t="shared" si="0"/>
        <v>0.16766763208832905</v>
      </c>
      <c r="Q11" s="84">
        <f t="shared" si="0"/>
        <v>0.1822193659027275</v>
      </c>
      <c r="R11" s="84">
        <f t="shared" si="0"/>
        <v>0.19803845953516908</v>
      </c>
      <c r="S11" s="84">
        <f>(S6-$C$6)/$C$6</f>
        <v>0.21878617468222267</v>
      </c>
      <c r="T11" s="84">
        <f>(T6-$C$6)/$C$6</f>
        <v>0.24026512420889687</v>
      </c>
      <c r="U11" s="84">
        <f>(U6-$C$6)/$C$6</f>
        <v>0.26016114641263371</v>
      </c>
      <c r="V11" s="84"/>
      <c r="W11" s="84"/>
      <c r="X11" s="84">
        <f>(X6-$C$6)/$C$6</f>
        <v>0.29895050052229816</v>
      </c>
      <c r="Y11" s="62">
        <f>(Y6-$C$6)/$C$6</f>
        <v>0.33427370187659172</v>
      </c>
    </row>
    <row r="12" spans="1:25" s="59" customFormat="1" x14ac:dyDescent="0.2">
      <c r="B12" s="63" t="s">
        <v>115</v>
      </c>
      <c r="C12" s="64"/>
      <c r="D12" s="85">
        <f t="shared" ref="D12:R12" si="1">(D5-$C$5)/$C$5</f>
        <v>5.6433268356981588E-3</v>
      </c>
      <c r="E12" s="85">
        <f t="shared" si="1"/>
        <v>4.3826093318193593E-2</v>
      </c>
      <c r="F12" s="85">
        <f t="shared" si="1"/>
        <v>8.2072919050501597E-2</v>
      </c>
      <c r="G12" s="85">
        <f t="shared" si="1"/>
        <v>0.21893905067783972</v>
      </c>
      <c r="H12" s="85">
        <f t="shared" si="1"/>
        <v>0.41026758962522786</v>
      </c>
      <c r="I12" s="85">
        <f t="shared" si="1"/>
        <v>0.47494148587541024</v>
      </c>
      <c r="J12" s="85">
        <f t="shared" si="1"/>
        <v>0.46833857172993759</v>
      </c>
      <c r="K12" s="85">
        <f t="shared" si="1"/>
        <v>0.36815838016277536</v>
      </c>
      <c r="L12" s="85">
        <f t="shared" si="1"/>
        <v>0.29528789397914262</v>
      </c>
      <c r="M12" s="85">
        <f t="shared" si="1"/>
        <v>0.45936079735130192</v>
      </c>
      <c r="N12" s="85">
        <f t="shared" si="1"/>
        <v>0.39153669314660888</v>
      </c>
      <c r="O12" s="85">
        <f t="shared" si="1"/>
        <v>0.43168309386324866</v>
      </c>
      <c r="P12" s="85">
        <f t="shared" si="1"/>
        <v>0.46481757001305074</v>
      </c>
      <c r="Q12" s="85">
        <f t="shared" si="1"/>
        <v>0.50701181486489777</v>
      </c>
      <c r="R12" s="85">
        <f t="shared" si="1"/>
        <v>0.52871253946924468</v>
      </c>
      <c r="S12" s="85">
        <f>(S5-$C$5)/$C$5</f>
        <v>0.61683635810896364</v>
      </c>
      <c r="T12" s="85">
        <f>(T5-$C$5)/$C$5</f>
        <v>0.63968387381132708</v>
      </c>
      <c r="U12" s="85">
        <f>(U5-$C$5)/$C$5</f>
        <v>0.7071811285934626</v>
      </c>
      <c r="V12" s="85"/>
      <c r="W12" s="85"/>
      <c r="X12" s="85">
        <f>(X5-$C$5)/$C$5</f>
        <v>0.67064592332579642</v>
      </c>
      <c r="Y12" s="65">
        <f>(Y5-$C$5)/$C$5</f>
        <v>0.74031938303154077</v>
      </c>
    </row>
    <row r="13" spans="1:25" x14ac:dyDescent="0.2">
      <c r="B13" s="20"/>
      <c r="Q13" s="20"/>
    </row>
    <row r="52" spans="2:25" ht="15.75" x14ac:dyDescent="0.25">
      <c r="B52" s="58" t="s">
        <v>102</v>
      </c>
    </row>
    <row r="53" spans="2:25" ht="13.5" thickBot="1" x14ac:dyDescent="0.25">
      <c r="C53" s="10">
        <v>2000</v>
      </c>
      <c r="D53" s="10">
        <v>2001</v>
      </c>
      <c r="E53" s="10">
        <v>2002</v>
      </c>
      <c r="F53" s="10">
        <v>2003</v>
      </c>
      <c r="G53" s="10">
        <v>2004</v>
      </c>
      <c r="H53" s="10">
        <v>2005</v>
      </c>
      <c r="I53" s="10">
        <v>2006</v>
      </c>
      <c r="J53" s="10">
        <v>2007</v>
      </c>
      <c r="K53" s="10">
        <v>2008</v>
      </c>
      <c r="L53" s="10">
        <v>2009</v>
      </c>
      <c r="M53" s="10">
        <v>2010</v>
      </c>
      <c r="N53" s="11">
        <v>2011</v>
      </c>
      <c r="O53" s="11">
        <v>2012</v>
      </c>
      <c r="P53" s="11">
        <v>2013</v>
      </c>
      <c r="Q53" s="11">
        <v>2014</v>
      </c>
      <c r="R53" s="11">
        <v>2015</v>
      </c>
      <c r="S53" s="11">
        <v>2016</v>
      </c>
      <c r="T53" s="11">
        <v>2017</v>
      </c>
      <c r="U53" s="11">
        <v>2018</v>
      </c>
      <c r="V53" s="11"/>
      <c r="W53" s="11"/>
      <c r="X53" s="11">
        <v>2021</v>
      </c>
      <c r="Y53" s="11">
        <v>2022</v>
      </c>
    </row>
    <row r="54" spans="2:25" ht="13.5" thickBot="1" x14ac:dyDescent="0.25">
      <c r="B54" s="120" t="s">
        <v>98</v>
      </c>
      <c r="C54" s="40">
        <f>'1-Waste Gen Recovery Data'!D82</f>
        <v>0.37130798722922609</v>
      </c>
      <c r="D54" s="40">
        <f>'1-Waste Gen Recovery Data'!E82</f>
        <v>0.40518608717686289</v>
      </c>
      <c r="E54" s="40">
        <f>'1-Waste Gen Recovery Data'!F82</f>
        <v>0.44283473685945718</v>
      </c>
      <c r="F54" s="40">
        <f>'1-Waste Gen Recovery Data'!G82</f>
        <v>0.45919109767062916</v>
      </c>
      <c r="G54" s="40">
        <f>'1-Waste Gen Recovery Data'!H82</f>
        <v>0.48823071813776808</v>
      </c>
      <c r="H54" s="40">
        <f>'1-Waste Gen Recovery Data'!I82</f>
        <v>0.47833607344101975</v>
      </c>
      <c r="I54" s="40">
        <f>'1-Waste Gen Recovery Data'!J82</f>
        <v>0.49704372559775029</v>
      </c>
      <c r="J54" s="40">
        <f>'1-Waste Gen Recovery Data'!K82</f>
        <v>0.4738475202408986</v>
      </c>
      <c r="K54" s="40">
        <f>'1-Waste Gen Recovery Data'!L82</f>
        <v>0.47482233402867075</v>
      </c>
      <c r="L54" s="40">
        <f>'1-Waste Gen Recovery Data'!M82</f>
        <v>0.5478726362954105</v>
      </c>
      <c r="M54" s="40">
        <f>'1-Waste Gen Recovery Data'!N82</f>
        <v>0.53868100970928967</v>
      </c>
      <c r="N54" s="40">
        <f>'1-Waste Gen Recovery Data'!O82</f>
        <v>0.5661626337166924</v>
      </c>
      <c r="O54" s="40">
        <f>'1-Waste Gen Recovery Data'!P82</f>
        <v>0.52358802161128737</v>
      </c>
      <c r="P54" s="40">
        <f>'1-Waste Gen Recovery Data'!Q82</f>
        <v>0.50930566310063752</v>
      </c>
      <c r="Q54" s="40">
        <f>'1-Waste Gen Recovery Data'!R82</f>
        <v>0.48325365907308476</v>
      </c>
      <c r="R54" s="40">
        <f>'1-Waste Gen Recovery Data'!S82</f>
        <v>0.4703308981961194</v>
      </c>
      <c r="S54" s="40">
        <f>'1-Waste Gen Recovery Data'!T82</f>
        <v>0.47564099373608759</v>
      </c>
      <c r="T54" s="40">
        <f>'1-Waste Gen Recovery Data'!U82</f>
        <v>0.48542666680773905</v>
      </c>
      <c r="U54" s="40">
        <f>'1-Waste Gen Recovery Data'!V82</f>
        <v>0.48582465588589857</v>
      </c>
      <c r="V54" s="40">
        <f>'1-Waste Gen Recovery Data'!W82</f>
        <v>0</v>
      </c>
      <c r="W54" s="40">
        <f>'1-Waste Gen Recovery Data'!X82</f>
        <v>0</v>
      </c>
      <c r="X54" s="40">
        <f>'1-Waste Gen Recovery Data'!Y82</f>
        <v>0.49108106164595855</v>
      </c>
      <c r="Y54" s="41">
        <f>'1-Waste Gen Recovery Data'!Z82</f>
        <v>0.42494580578163743</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11"/>
  <sheetViews>
    <sheetView zoomScale="90" zoomScaleNormal="90" workbookViewId="0"/>
  </sheetViews>
  <sheetFormatPr defaultColWidth="9" defaultRowHeight="12.75" x14ac:dyDescent="0.2"/>
  <cols>
    <col min="1" max="1" width="2.42578125" style="2" customWidth="1"/>
    <col min="2" max="2" width="41.140625" style="42" customWidth="1"/>
    <col min="3" max="3" width="119.85546875" style="30" customWidth="1"/>
    <col min="4" max="4" width="9" style="2" customWidth="1"/>
    <col min="5" max="16384" width="9" style="2"/>
  </cols>
  <sheetData>
    <row r="1" spans="1:18" x14ac:dyDescent="0.2">
      <c r="A1" s="109" t="s">
        <v>235</v>
      </c>
    </row>
    <row r="2" spans="1:18" s="1" customFormat="1" ht="15.75" x14ac:dyDescent="0.2">
      <c r="B2" s="47" t="s">
        <v>120</v>
      </c>
      <c r="C2" s="31"/>
    </row>
    <row r="3" spans="1:18" s="1" customFormat="1" x14ac:dyDescent="0.2">
      <c r="B3" s="48" t="s">
        <v>244</v>
      </c>
      <c r="C3" s="101"/>
    </row>
    <row r="4" spans="1:18" s="1" customFormat="1" x14ac:dyDescent="0.2">
      <c r="B4" s="43"/>
      <c r="C4" s="31"/>
    </row>
    <row r="5" spans="1:18" ht="205.15" customHeight="1" x14ac:dyDescent="0.2">
      <c r="B5" s="139" t="s">
        <v>243</v>
      </c>
      <c r="C5" s="140"/>
      <c r="D5" s="45"/>
      <c r="E5" s="45"/>
      <c r="F5" s="45"/>
      <c r="G5" s="45"/>
      <c r="H5" s="45"/>
      <c r="I5" s="45"/>
      <c r="J5" s="45"/>
      <c r="K5" s="45"/>
      <c r="L5" s="45"/>
      <c r="M5" s="45"/>
      <c r="N5" s="45"/>
      <c r="O5" s="45"/>
      <c r="P5" s="45"/>
      <c r="Q5" s="45"/>
      <c r="R5" s="45"/>
    </row>
    <row r="6" spans="1:18" x14ac:dyDescent="0.2">
      <c r="B6" s="43"/>
      <c r="C6" s="44"/>
      <c r="D6" s="44"/>
      <c r="E6" s="44"/>
      <c r="F6" s="44"/>
      <c r="G6" s="44"/>
      <c r="H6" s="44"/>
      <c r="I6" s="44"/>
      <c r="J6" s="44"/>
      <c r="K6" s="44"/>
      <c r="L6" s="44"/>
      <c r="M6" s="44"/>
      <c r="N6" s="44"/>
      <c r="O6" s="44"/>
      <c r="P6" s="44"/>
      <c r="Q6" s="44"/>
      <c r="R6" s="44"/>
    </row>
    <row r="7" spans="1:18" s="1" customFormat="1" x14ac:dyDescent="0.2">
      <c r="B7" s="141" t="s">
        <v>170</v>
      </c>
      <c r="C7" s="141"/>
    </row>
    <row r="8" spans="1:18" s="16" customFormat="1" ht="25.5" x14ac:dyDescent="0.2">
      <c r="B8" s="103" t="s">
        <v>42</v>
      </c>
      <c r="C8" s="103" t="s">
        <v>179</v>
      </c>
    </row>
    <row r="9" spans="1:18" s="20" customFormat="1" x14ac:dyDescent="0.2">
      <c r="B9" s="103" t="s">
        <v>42</v>
      </c>
      <c r="C9" s="103" t="s">
        <v>156</v>
      </c>
    </row>
    <row r="10" spans="1:18" s="20" customFormat="1" ht="25.5" x14ac:dyDescent="0.2">
      <c r="B10" s="103" t="s">
        <v>210</v>
      </c>
      <c r="C10" s="103" t="s">
        <v>224</v>
      </c>
    </row>
    <row r="11" spans="1:18" ht="38.25" x14ac:dyDescent="0.2">
      <c r="B11" s="103" t="s">
        <v>68</v>
      </c>
      <c r="C11" s="103" t="s">
        <v>93</v>
      </c>
    </row>
    <row r="12" spans="1:18" s="16" customFormat="1" x14ac:dyDescent="0.2">
      <c r="B12" s="103" t="s">
        <v>25</v>
      </c>
      <c r="C12" s="103" t="s">
        <v>139</v>
      </c>
    </row>
    <row r="13" spans="1:18" s="16" customFormat="1" ht="38.25" x14ac:dyDescent="0.2">
      <c r="B13" s="103" t="s">
        <v>183</v>
      </c>
      <c r="C13" s="103" t="s">
        <v>184</v>
      </c>
    </row>
    <row r="14" spans="1:18" x14ac:dyDescent="0.2">
      <c r="B14" s="103" t="s">
        <v>29</v>
      </c>
      <c r="C14" s="103" t="s">
        <v>143</v>
      </c>
    </row>
    <row r="15" spans="1:18" x14ac:dyDescent="0.2">
      <c r="B15" s="103" t="s">
        <v>26</v>
      </c>
      <c r="C15" s="103" t="s">
        <v>142</v>
      </c>
    </row>
    <row r="16" spans="1:18" x14ac:dyDescent="0.2">
      <c r="B16" s="103" t="s">
        <v>23</v>
      </c>
      <c r="C16" s="103" t="s">
        <v>76</v>
      </c>
    </row>
    <row r="17" spans="2:4" s="16" customFormat="1" x14ac:dyDescent="0.2">
      <c r="B17" s="103" t="s">
        <v>14</v>
      </c>
      <c r="C17" s="103" t="s">
        <v>146</v>
      </c>
    </row>
    <row r="18" spans="2:4" s="16" customFormat="1" x14ac:dyDescent="0.2">
      <c r="B18" s="103" t="s">
        <v>45</v>
      </c>
      <c r="C18" s="103" t="s">
        <v>144</v>
      </c>
    </row>
    <row r="19" spans="2:4" s="16" customFormat="1" ht="38.25" x14ac:dyDescent="0.2">
      <c r="B19" s="103" t="s">
        <v>203</v>
      </c>
      <c r="C19" s="103" t="s">
        <v>226</v>
      </c>
    </row>
    <row r="20" spans="2:4" s="20" customFormat="1" x14ac:dyDescent="0.2">
      <c r="B20" s="103" t="s">
        <v>36</v>
      </c>
      <c r="C20" s="103" t="s">
        <v>130</v>
      </c>
    </row>
    <row r="21" spans="2:4" x14ac:dyDescent="0.2">
      <c r="B21" s="103" t="s">
        <v>3</v>
      </c>
      <c r="C21" s="103" t="s">
        <v>189</v>
      </c>
    </row>
    <row r="22" spans="2:4" x14ac:dyDescent="0.2">
      <c r="B22" s="103" t="s">
        <v>9</v>
      </c>
      <c r="C22" s="103" t="s">
        <v>82</v>
      </c>
    </row>
    <row r="23" spans="2:4" ht="25.5" x14ac:dyDescent="0.2">
      <c r="B23" s="103" t="s">
        <v>9</v>
      </c>
      <c r="C23" s="103" t="s">
        <v>133</v>
      </c>
    </row>
    <row r="24" spans="2:4" ht="25.5" x14ac:dyDescent="0.2">
      <c r="B24" s="103" t="s">
        <v>121</v>
      </c>
      <c r="C24" s="103" t="s">
        <v>167</v>
      </c>
      <c r="D24" s="79"/>
    </row>
    <row r="25" spans="2:4" s="16" customFormat="1" x14ac:dyDescent="0.2">
      <c r="B25" s="103" t="s">
        <v>122</v>
      </c>
      <c r="C25" s="103" t="s">
        <v>162</v>
      </c>
      <c r="D25" s="79"/>
    </row>
    <row r="26" spans="2:4" x14ac:dyDescent="0.2">
      <c r="B26" s="103" t="s">
        <v>123</v>
      </c>
      <c r="C26" s="103" t="s">
        <v>163</v>
      </c>
      <c r="D26" s="80"/>
    </row>
    <row r="27" spans="2:4" s="20" customFormat="1" ht="25.5" x14ac:dyDescent="0.2">
      <c r="B27" s="103" t="s">
        <v>124</v>
      </c>
      <c r="C27" s="103" t="s">
        <v>166</v>
      </c>
      <c r="D27" s="30"/>
    </row>
    <row r="28" spans="2:4" ht="25.5" x14ac:dyDescent="0.2">
      <c r="B28" s="103" t="s">
        <v>125</v>
      </c>
      <c r="C28" s="103" t="s">
        <v>168</v>
      </c>
      <c r="D28" s="30"/>
    </row>
    <row r="29" spans="2:4" x14ac:dyDescent="0.2">
      <c r="B29" s="103" t="s">
        <v>126</v>
      </c>
      <c r="C29" s="103" t="s">
        <v>169</v>
      </c>
      <c r="D29" s="79"/>
    </row>
    <row r="30" spans="2:4" x14ac:dyDescent="0.2">
      <c r="B30" s="103" t="s">
        <v>127</v>
      </c>
      <c r="C30" s="103" t="s">
        <v>164</v>
      </c>
      <c r="D30" s="79"/>
    </row>
    <row r="31" spans="2:4" x14ac:dyDescent="0.2">
      <c r="B31" s="103" t="s">
        <v>128</v>
      </c>
      <c r="C31" s="103" t="s">
        <v>165</v>
      </c>
      <c r="D31" s="79"/>
    </row>
    <row r="32" spans="2:4" x14ac:dyDescent="0.2">
      <c r="B32" s="103" t="s">
        <v>60</v>
      </c>
      <c r="C32" s="103" t="s">
        <v>189</v>
      </c>
      <c r="D32" s="30"/>
    </row>
    <row r="33" spans="1:14" ht="38.25" x14ac:dyDescent="0.2">
      <c r="B33" s="103" t="s">
        <v>197</v>
      </c>
      <c r="C33" s="103" t="s">
        <v>227</v>
      </c>
      <c r="D33" s="30"/>
    </row>
    <row r="34" spans="1:14" ht="38.25" x14ac:dyDescent="0.2">
      <c r="B34" s="103" t="s">
        <v>207</v>
      </c>
      <c r="C34" s="103" t="s">
        <v>228</v>
      </c>
      <c r="D34" s="30"/>
    </row>
    <row r="35" spans="1:14" ht="25.5" x14ac:dyDescent="0.2">
      <c r="B35" s="103" t="s">
        <v>75</v>
      </c>
      <c r="C35" s="103" t="s">
        <v>77</v>
      </c>
      <c r="D35" s="30"/>
    </row>
    <row r="36" spans="1:14" s="20" customFormat="1" ht="25.5" x14ac:dyDescent="0.2">
      <c r="B36" s="103" t="s">
        <v>75</v>
      </c>
      <c r="C36" s="103" t="s">
        <v>147</v>
      </c>
      <c r="D36" s="30"/>
    </row>
    <row r="37" spans="1:14" x14ac:dyDescent="0.2">
      <c r="B37" s="103" t="s">
        <v>70</v>
      </c>
      <c r="C37" s="103" t="s">
        <v>154</v>
      </c>
      <c r="D37" s="30"/>
      <c r="E37" s="30"/>
      <c r="F37" s="30"/>
      <c r="G37" s="30"/>
      <c r="H37" s="30"/>
      <c r="I37" s="30"/>
      <c r="J37" s="30"/>
      <c r="K37" s="30"/>
      <c r="L37" s="30"/>
      <c r="M37" s="30"/>
      <c r="N37" s="30"/>
    </row>
    <row r="38" spans="1:14" x14ac:dyDescent="0.2">
      <c r="B38" s="104" t="s">
        <v>44</v>
      </c>
      <c r="C38" s="103" t="s">
        <v>78</v>
      </c>
      <c r="D38" s="30"/>
      <c r="E38" s="30"/>
      <c r="F38" s="30"/>
      <c r="G38" s="30"/>
      <c r="H38" s="30"/>
      <c r="I38" s="30"/>
      <c r="J38" s="30"/>
      <c r="K38" s="30"/>
      <c r="L38" s="30"/>
      <c r="M38" s="30"/>
      <c r="N38" s="30"/>
    </row>
    <row r="39" spans="1:14" x14ac:dyDescent="0.2">
      <c r="B39" s="103" t="s">
        <v>44</v>
      </c>
      <c r="C39" s="103" t="s">
        <v>134</v>
      </c>
      <c r="D39" s="30"/>
      <c r="E39" s="30"/>
      <c r="F39" s="30"/>
      <c r="G39" s="30"/>
      <c r="H39" s="30"/>
      <c r="I39" s="30"/>
      <c r="J39" s="30"/>
      <c r="K39" s="30"/>
      <c r="L39" s="30"/>
      <c r="M39" s="30"/>
      <c r="N39" s="30"/>
    </row>
    <row r="40" spans="1:14" x14ac:dyDescent="0.2">
      <c r="B40" s="103" t="s">
        <v>95</v>
      </c>
      <c r="C40" s="103" t="s">
        <v>190</v>
      </c>
      <c r="D40" s="30"/>
      <c r="E40" s="30"/>
      <c r="F40" s="30"/>
      <c r="G40" s="30"/>
      <c r="H40" s="30"/>
      <c r="I40" s="30"/>
      <c r="J40" s="30"/>
      <c r="K40" s="30"/>
      <c r="L40" s="30"/>
      <c r="M40" s="30"/>
      <c r="N40" s="30"/>
    </row>
    <row r="41" spans="1:14" ht="25.5" x14ac:dyDescent="0.2">
      <c r="B41" s="103" t="s">
        <v>7</v>
      </c>
      <c r="C41" s="103" t="s">
        <v>174</v>
      </c>
      <c r="D41" s="30"/>
      <c r="E41" s="30"/>
      <c r="F41" s="30"/>
      <c r="G41" s="30"/>
      <c r="H41" s="30"/>
      <c r="I41" s="30"/>
      <c r="J41" s="30"/>
      <c r="K41" s="30"/>
      <c r="L41" s="30"/>
      <c r="M41" s="30"/>
      <c r="N41" s="30"/>
    </row>
    <row r="42" spans="1:14" s="1" customFormat="1" ht="25.5" x14ac:dyDescent="0.2">
      <c r="A42" s="2"/>
      <c r="B42" s="104" t="s">
        <v>30</v>
      </c>
      <c r="C42" s="103" t="s">
        <v>180</v>
      </c>
      <c r="D42" s="30"/>
      <c r="E42" s="30"/>
      <c r="F42" s="30"/>
      <c r="G42" s="30"/>
      <c r="H42" s="30"/>
      <c r="I42" s="30"/>
      <c r="J42" s="30"/>
      <c r="K42" s="30"/>
      <c r="L42" s="30"/>
      <c r="M42" s="30"/>
      <c r="N42" s="30"/>
    </row>
    <row r="43" spans="1:14" s="1" customFormat="1" ht="38.25" x14ac:dyDescent="0.2">
      <c r="A43" s="2"/>
      <c r="B43" s="103" t="s">
        <v>118</v>
      </c>
      <c r="C43" s="103" t="s">
        <v>151</v>
      </c>
      <c r="D43" s="46"/>
      <c r="E43" s="46"/>
      <c r="F43" s="46"/>
      <c r="G43" s="46"/>
      <c r="H43" s="46"/>
      <c r="I43" s="46"/>
      <c r="J43" s="46"/>
      <c r="K43" s="46"/>
      <c r="L43" s="46"/>
      <c r="M43" s="46"/>
      <c r="N43" s="46"/>
    </row>
    <row r="44" spans="1:14" ht="25.5" x14ac:dyDescent="0.2">
      <c r="B44" s="103" t="s">
        <v>119</v>
      </c>
      <c r="C44" s="103" t="s">
        <v>117</v>
      </c>
      <c r="D44" s="30"/>
      <c r="E44" s="30"/>
      <c r="F44" s="30"/>
      <c r="G44" s="30"/>
      <c r="H44" s="30"/>
      <c r="I44" s="30"/>
      <c r="J44" s="30"/>
      <c r="K44" s="30"/>
      <c r="L44" s="30"/>
      <c r="M44" s="30"/>
      <c r="N44" s="30"/>
    </row>
    <row r="45" spans="1:14" x14ac:dyDescent="0.2">
      <c r="B45" s="103" t="s">
        <v>91</v>
      </c>
      <c r="C45" s="103" t="s">
        <v>89</v>
      </c>
      <c r="D45" s="30"/>
      <c r="E45" s="30"/>
      <c r="F45" s="30"/>
      <c r="G45" s="30"/>
      <c r="H45" s="30"/>
      <c r="I45" s="30"/>
      <c r="J45" s="30"/>
      <c r="K45" s="30"/>
      <c r="L45" s="30"/>
      <c r="M45" s="30"/>
      <c r="N45" s="30"/>
    </row>
    <row r="46" spans="1:14" ht="51" x14ac:dyDescent="0.2">
      <c r="B46" s="103" t="s">
        <v>31</v>
      </c>
      <c r="C46" s="103" t="s">
        <v>181</v>
      </c>
      <c r="D46" s="30"/>
      <c r="E46" s="30"/>
      <c r="F46" s="30"/>
      <c r="G46" s="30"/>
      <c r="H46" s="30"/>
      <c r="I46" s="30"/>
      <c r="J46" s="30"/>
      <c r="K46" s="30"/>
      <c r="L46" s="30"/>
      <c r="M46" s="30"/>
      <c r="N46" s="30"/>
    </row>
    <row r="47" spans="1:14" x14ac:dyDescent="0.2">
      <c r="B47" s="103" t="s">
        <v>31</v>
      </c>
      <c r="C47" s="103" t="s">
        <v>148</v>
      </c>
      <c r="D47" s="30"/>
      <c r="E47" s="30"/>
      <c r="F47" s="30"/>
      <c r="G47" s="30"/>
      <c r="H47" s="30"/>
      <c r="I47" s="30"/>
      <c r="J47" s="30"/>
      <c r="K47" s="30"/>
      <c r="L47" s="30"/>
      <c r="M47" s="30"/>
      <c r="N47" s="30"/>
    </row>
    <row r="48" spans="1:14" x14ac:dyDescent="0.2">
      <c r="B48" s="103" t="s">
        <v>20</v>
      </c>
      <c r="C48" s="103" t="s">
        <v>162</v>
      </c>
      <c r="D48" s="30"/>
      <c r="E48" s="30"/>
      <c r="F48" s="30"/>
      <c r="G48" s="30"/>
      <c r="H48" s="30"/>
      <c r="I48" s="30"/>
      <c r="J48" s="30"/>
      <c r="K48" s="30"/>
      <c r="L48" s="30"/>
      <c r="M48" s="30"/>
      <c r="N48" s="30"/>
    </row>
    <row r="49" spans="1:14" x14ac:dyDescent="0.2">
      <c r="B49" s="103" t="s">
        <v>0</v>
      </c>
      <c r="C49" s="103" t="s">
        <v>191</v>
      </c>
      <c r="D49" s="30"/>
      <c r="E49" s="30"/>
      <c r="F49" s="30"/>
      <c r="G49" s="30"/>
      <c r="H49" s="30"/>
      <c r="I49" s="30"/>
      <c r="J49" s="30"/>
      <c r="K49" s="30"/>
      <c r="L49" s="30"/>
      <c r="M49" s="30"/>
      <c r="N49" s="30"/>
    </row>
    <row r="50" spans="1:14" x14ac:dyDescent="0.2">
      <c r="B50" s="103" t="s">
        <v>51</v>
      </c>
      <c r="C50" s="103" t="s">
        <v>136</v>
      </c>
      <c r="D50" s="30"/>
      <c r="E50" s="30"/>
      <c r="F50" s="30"/>
      <c r="G50" s="30"/>
      <c r="H50" s="30"/>
      <c r="I50" s="30"/>
      <c r="J50" s="30"/>
      <c r="K50" s="30"/>
      <c r="L50" s="30"/>
      <c r="M50" s="30"/>
      <c r="N50" s="30"/>
    </row>
    <row r="51" spans="1:14" x14ac:dyDescent="0.2">
      <c r="B51" s="103" t="s">
        <v>40</v>
      </c>
      <c r="C51" s="103" t="s">
        <v>131</v>
      </c>
      <c r="D51" s="30"/>
      <c r="E51" s="30"/>
      <c r="F51" s="30"/>
      <c r="G51" s="30"/>
      <c r="H51" s="30"/>
      <c r="I51" s="30"/>
      <c r="J51" s="30"/>
      <c r="K51" s="30"/>
      <c r="L51" s="30"/>
      <c r="M51" s="30"/>
      <c r="N51" s="30"/>
    </row>
    <row r="52" spans="1:14" x14ac:dyDescent="0.2">
      <c r="B52" s="103" t="s">
        <v>46</v>
      </c>
      <c r="C52" s="103" t="s">
        <v>145</v>
      </c>
      <c r="D52" s="30"/>
      <c r="E52" s="30"/>
      <c r="F52" s="30"/>
      <c r="G52" s="30"/>
      <c r="H52" s="30"/>
      <c r="I52" s="30"/>
      <c r="J52" s="30"/>
      <c r="K52" s="30"/>
      <c r="L52" s="30"/>
      <c r="M52" s="30"/>
      <c r="N52" s="30"/>
    </row>
    <row r="53" spans="1:14" ht="13.15" customHeight="1" x14ac:dyDescent="0.2">
      <c r="B53" s="103" t="s">
        <v>73</v>
      </c>
      <c r="C53" s="103" t="s">
        <v>155</v>
      </c>
      <c r="D53" s="30"/>
      <c r="E53" s="30"/>
      <c r="F53" s="30"/>
      <c r="G53" s="30"/>
      <c r="H53" s="30"/>
      <c r="I53" s="30"/>
      <c r="J53" s="30"/>
      <c r="K53" s="30"/>
      <c r="L53" s="30"/>
      <c r="M53" s="30"/>
      <c r="N53" s="30"/>
    </row>
    <row r="54" spans="1:14" x14ac:dyDescent="0.2">
      <c r="B54" s="103" t="s">
        <v>186</v>
      </c>
      <c r="C54" s="103" t="s">
        <v>187</v>
      </c>
      <c r="D54" s="30"/>
      <c r="E54" s="30"/>
      <c r="F54" s="30"/>
      <c r="G54" s="30"/>
      <c r="H54" s="30"/>
      <c r="I54" s="30"/>
      <c r="J54" s="30"/>
      <c r="K54" s="30"/>
      <c r="L54" s="30"/>
      <c r="M54" s="30"/>
      <c r="N54" s="30"/>
    </row>
    <row r="55" spans="1:14" ht="25.5" x14ac:dyDescent="0.2">
      <c r="B55" s="103" t="s">
        <v>8</v>
      </c>
      <c r="C55" s="103" t="s">
        <v>153</v>
      </c>
      <c r="D55" s="30"/>
      <c r="E55" s="30"/>
      <c r="F55" s="30"/>
      <c r="G55" s="30"/>
      <c r="H55" s="30"/>
      <c r="I55" s="30"/>
      <c r="J55" s="30"/>
      <c r="K55" s="30"/>
      <c r="L55" s="30"/>
      <c r="M55" s="30"/>
      <c r="N55" s="30"/>
    </row>
    <row r="56" spans="1:14" x14ac:dyDescent="0.2">
      <c r="B56" s="103" t="s">
        <v>55</v>
      </c>
      <c r="C56" s="103" t="s">
        <v>86</v>
      </c>
      <c r="D56" s="30"/>
      <c r="E56" s="30"/>
      <c r="F56" s="30"/>
      <c r="G56" s="30"/>
      <c r="H56" s="30"/>
      <c r="I56" s="30"/>
      <c r="J56" s="30"/>
      <c r="K56" s="30"/>
      <c r="L56" s="30"/>
      <c r="M56" s="30"/>
      <c r="N56" s="30"/>
    </row>
    <row r="57" spans="1:14" x14ac:dyDescent="0.2">
      <c r="B57" s="103" t="s">
        <v>52</v>
      </c>
      <c r="C57" s="103" t="s">
        <v>137</v>
      </c>
      <c r="D57" s="30"/>
      <c r="E57" s="30"/>
      <c r="F57" s="30"/>
      <c r="G57" s="30"/>
      <c r="H57" s="30"/>
      <c r="I57" s="30"/>
      <c r="J57" s="30"/>
      <c r="K57" s="30"/>
      <c r="L57" s="30"/>
      <c r="M57" s="30"/>
      <c r="N57" s="30"/>
    </row>
    <row r="58" spans="1:14" s="1" customFormat="1" ht="25.5" x14ac:dyDescent="0.2">
      <c r="A58" s="2"/>
      <c r="B58" s="103" t="s">
        <v>175</v>
      </c>
      <c r="C58" s="103" t="s">
        <v>178</v>
      </c>
    </row>
    <row r="59" spans="1:14" s="1" customFormat="1" x14ac:dyDescent="0.2">
      <c r="A59" s="2"/>
      <c r="B59" s="103" t="s">
        <v>113</v>
      </c>
      <c r="C59" s="103" t="s">
        <v>209</v>
      </c>
    </row>
    <row r="60" spans="1:14" x14ac:dyDescent="0.2">
      <c r="B60" s="103" t="s">
        <v>110</v>
      </c>
      <c r="C60" s="103" t="s">
        <v>206</v>
      </c>
      <c r="D60" s="30"/>
      <c r="E60" s="30"/>
      <c r="F60" s="30"/>
      <c r="G60" s="30"/>
      <c r="H60" s="30"/>
      <c r="I60" s="30"/>
      <c r="J60" s="30"/>
      <c r="K60" s="30"/>
      <c r="L60" s="30"/>
      <c r="M60" s="30"/>
      <c r="N60" s="30"/>
    </row>
    <row r="61" spans="1:14" x14ac:dyDescent="0.2">
      <c r="B61" s="103" t="s">
        <v>5</v>
      </c>
      <c r="C61" s="103" t="s">
        <v>192</v>
      </c>
      <c r="D61" s="30"/>
      <c r="E61" s="30"/>
      <c r="F61" s="30"/>
      <c r="G61" s="30"/>
      <c r="H61" s="30"/>
      <c r="I61" s="30"/>
      <c r="J61" s="30"/>
      <c r="K61" s="30"/>
      <c r="L61" s="30"/>
      <c r="M61" s="30"/>
      <c r="N61" s="30"/>
    </row>
    <row r="62" spans="1:14" ht="25.5" x14ac:dyDescent="0.2">
      <c r="B62" s="103" t="s">
        <v>94</v>
      </c>
      <c r="C62" s="103" t="s">
        <v>152</v>
      </c>
      <c r="D62" s="30"/>
      <c r="E62" s="30"/>
      <c r="F62" s="30"/>
      <c r="G62" s="30"/>
      <c r="H62" s="30"/>
      <c r="I62" s="30"/>
      <c r="J62" s="30"/>
      <c r="K62" s="30"/>
      <c r="L62" s="30"/>
      <c r="M62" s="30"/>
      <c r="N62" s="30"/>
    </row>
    <row r="63" spans="1:14" x14ac:dyDescent="0.2">
      <c r="B63" s="103" t="s">
        <v>48</v>
      </c>
      <c r="C63" s="103" t="s">
        <v>223</v>
      </c>
      <c r="D63" s="30"/>
      <c r="E63" s="30"/>
      <c r="F63" s="30"/>
      <c r="G63" s="30"/>
      <c r="H63" s="30"/>
      <c r="I63" s="30"/>
      <c r="J63" s="30"/>
      <c r="K63" s="30"/>
      <c r="L63" s="30"/>
      <c r="M63" s="30"/>
      <c r="N63" s="30"/>
    </row>
    <row r="64" spans="1:14" x14ac:dyDescent="0.2">
      <c r="B64" s="103" t="s">
        <v>4</v>
      </c>
      <c r="C64" s="103" t="s">
        <v>150</v>
      </c>
      <c r="D64" s="30"/>
      <c r="E64" s="30"/>
      <c r="F64" s="30"/>
      <c r="G64" s="30"/>
      <c r="H64" s="30"/>
      <c r="I64" s="30"/>
      <c r="J64" s="30"/>
      <c r="K64" s="30"/>
      <c r="L64" s="30"/>
      <c r="M64" s="30"/>
      <c r="N64" s="30"/>
    </row>
    <row r="65" spans="2:14" ht="12" customHeight="1" x14ac:dyDescent="0.2">
      <c r="B65" s="103" t="s">
        <v>38</v>
      </c>
      <c r="C65" s="103" t="s">
        <v>132</v>
      </c>
      <c r="D65" s="30"/>
      <c r="E65" s="30"/>
      <c r="F65" s="30"/>
      <c r="G65" s="30"/>
      <c r="H65" s="30"/>
      <c r="I65" s="30"/>
      <c r="J65" s="30"/>
      <c r="K65" s="30"/>
      <c r="L65" s="30"/>
      <c r="M65" s="30"/>
      <c r="N65" s="30"/>
    </row>
    <row r="66" spans="2:14" x14ac:dyDescent="0.2">
      <c r="B66" s="103" t="s">
        <v>49</v>
      </c>
      <c r="C66" s="103" t="s">
        <v>189</v>
      </c>
      <c r="D66" s="30"/>
      <c r="E66" s="30"/>
      <c r="F66" s="30"/>
      <c r="G66" s="30"/>
      <c r="H66" s="30"/>
      <c r="I66" s="30"/>
      <c r="J66" s="30"/>
      <c r="K66" s="30"/>
      <c r="L66" s="30"/>
      <c r="M66" s="30"/>
      <c r="N66" s="30"/>
    </row>
    <row r="67" spans="2:14" x14ac:dyDescent="0.2">
      <c r="B67" s="103" t="s">
        <v>18</v>
      </c>
      <c r="C67" s="103" t="s">
        <v>92</v>
      </c>
      <c r="D67" s="30"/>
      <c r="E67" s="30"/>
      <c r="F67" s="30"/>
      <c r="G67" s="30"/>
      <c r="H67" s="30"/>
      <c r="I67" s="30"/>
      <c r="J67" s="30"/>
      <c r="K67" s="30"/>
      <c r="L67" s="30"/>
      <c r="M67" s="30"/>
      <c r="N67" s="30"/>
    </row>
    <row r="68" spans="2:14" x14ac:dyDescent="0.2">
      <c r="B68" s="103" t="s">
        <v>64</v>
      </c>
      <c r="C68" s="103" t="s">
        <v>87</v>
      </c>
      <c r="D68" s="30"/>
      <c r="E68" s="30"/>
      <c r="F68" s="30"/>
      <c r="G68" s="30"/>
      <c r="H68" s="30"/>
      <c r="I68" s="30"/>
      <c r="J68" s="30"/>
      <c r="K68" s="30"/>
      <c r="L68" s="30"/>
      <c r="M68" s="30"/>
      <c r="N68" s="30"/>
    </row>
    <row r="69" spans="2:14" ht="25.5" x14ac:dyDescent="0.2">
      <c r="B69" s="103" t="s">
        <v>37</v>
      </c>
      <c r="C69" s="103" t="s">
        <v>129</v>
      </c>
      <c r="D69" s="30"/>
      <c r="E69" s="30"/>
      <c r="F69" s="30"/>
      <c r="G69" s="30"/>
      <c r="H69" s="30"/>
      <c r="I69" s="30"/>
      <c r="J69" s="30"/>
      <c r="K69" s="30"/>
      <c r="L69" s="30"/>
      <c r="M69" s="30"/>
      <c r="N69" s="30"/>
    </row>
    <row r="70" spans="2:14" ht="25.5" x14ac:dyDescent="0.2">
      <c r="B70" s="103" t="s">
        <v>217</v>
      </c>
      <c r="C70" s="103" t="s">
        <v>240</v>
      </c>
      <c r="D70" s="30"/>
      <c r="E70" s="30"/>
      <c r="F70" s="30"/>
      <c r="G70" s="30"/>
      <c r="H70" s="30"/>
      <c r="I70" s="30"/>
      <c r="J70" s="30"/>
      <c r="K70" s="30"/>
      <c r="L70" s="30"/>
      <c r="M70" s="30"/>
      <c r="N70" s="30"/>
    </row>
    <row r="71" spans="2:14" x14ac:dyDescent="0.2">
      <c r="B71" s="103" t="s">
        <v>2</v>
      </c>
      <c r="C71" s="103" t="s">
        <v>189</v>
      </c>
      <c r="D71" s="30"/>
      <c r="E71" s="30"/>
      <c r="F71" s="30"/>
      <c r="G71" s="30"/>
      <c r="H71" s="30"/>
      <c r="I71" s="30"/>
      <c r="J71" s="30"/>
      <c r="K71" s="30"/>
      <c r="L71" s="30"/>
      <c r="M71" s="30"/>
      <c r="N71" s="30"/>
    </row>
    <row r="72" spans="2:14" ht="25.5" x14ac:dyDescent="0.2">
      <c r="B72" s="103" t="s">
        <v>211</v>
      </c>
      <c r="C72" s="103" t="s">
        <v>212</v>
      </c>
      <c r="D72" s="30"/>
      <c r="E72" s="30"/>
      <c r="F72" s="30"/>
      <c r="G72" s="30"/>
      <c r="H72" s="30"/>
      <c r="I72" s="30"/>
      <c r="J72" s="30"/>
      <c r="K72" s="30"/>
      <c r="L72" s="30"/>
      <c r="M72" s="30"/>
      <c r="N72" s="30"/>
    </row>
    <row r="73" spans="2:14" ht="13.15" customHeight="1" x14ac:dyDescent="0.2">
      <c r="B73" s="103" t="s">
        <v>24</v>
      </c>
      <c r="C73" s="103" t="s">
        <v>213</v>
      </c>
      <c r="D73" s="30"/>
      <c r="E73" s="30"/>
      <c r="F73" s="30"/>
      <c r="G73" s="30"/>
      <c r="H73" s="30"/>
      <c r="I73" s="30"/>
      <c r="J73" s="30"/>
      <c r="K73" s="30"/>
      <c r="L73" s="30"/>
      <c r="M73" s="30"/>
      <c r="N73" s="30"/>
    </row>
    <row r="74" spans="2:14" x14ac:dyDescent="0.2">
      <c r="B74" s="103" t="s">
        <v>47</v>
      </c>
      <c r="C74" s="103" t="s">
        <v>81</v>
      </c>
      <c r="D74" s="30"/>
      <c r="E74" s="30"/>
      <c r="F74" s="30"/>
      <c r="G74" s="30"/>
      <c r="H74" s="30"/>
      <c r="I74" s="30"/>
      <c r="J74" s="30"/>
      <c r="K74" s="30"/>
      <c r="L74" s="30"/>
      <c r="M74" s="30"/>
      <c r="N74" s="30"/>
    </row>
    <row r="75" spans="2:14" ht="25.5" x14ac:dyDescent="0.2">
      <c r="B75" s="103" t="s">
        <v>27</v>
      </c>
      <c r="C75" s="103" t="s">
        <v>140</v>
      </c>
      <c r="D75" s="30"/>
      <c r="E75" s="30"/>
      <c r="F75" s="30"/>
      <c r="G75" s="30"/>
      <c r="H75" s="30"/>
      <c r="I75" s="30"/>
      <c r="J75" s="30"/>
      <c r="K75" s="30"/>
      <c r="L75" s="30"/>
      <c r="M75" s="30"/>
      <c r="N75" s="30"/>
    </row>
    <row r="76" spans="2:14" x14ac:dyDescent="0.2">
      <c r="B76" s="103" t="s">
        <v>56</v>
      </c>
      <c r="C76" s="103" t="s">
        <v>193</v>
      </c>
      <c r="D76" s="30"/>
      <c r="E76" s="30"/>
      <c r="F76" s="30"/>
      <c r="G76" s="30"/>
      <c r="H76" s="30"/>
      <c r="I76" s="30"/>
      <c r="J76" s="30"/>
      <c r="K76" s="30"/>
      <c r="L76" s="30"/>
      <c r="M76" s="30"/>
      <c r="N76" s="30"/>
    </row>
    <row r="77" spans="2:14" x14ac:dyDescent="0.2">
      <c r="B77" s="103" t="s">
        <v>72</v>
      </c>
      <c r="C77" s="103" t="s">
        <v>79</v>
      </c>
      <c r="D77" s="30"/>
      <c r="E77" s="30"/>
      <c r="F77" s="30"/>
      <c r="G77" s="30"/>
      <c r="H77" s="30"/>
      <c r="I77" s="30"/>
      <c r="J77" s="30"/>
      <c r="K77" s="30"/>
      <c r="L77" s="30"/>
      <c r="M77" s="30"/>
      <c r="N77" s="30"/>
    </row>
    <row r="78" spans="2:14" x14ac:dyDescent="0.2">
      <c r="B78" s="103" t="s">
        <v>90</v>
      </c>
      <c r="C78" s="103" t="s">
        <v>85</v>
      </c>
      <c r="D78" s="30"/>
      <c r="E78" s="30"/>
      <c r="F78" s="30"/>
      <c r="G78" s="30"/>
      <c r="H78" s="30"/>
      <c r="I78" s="30"/>
      <c r="J78" s="30"/>
      <c r="K78" s="30"/>
      <c r="L78" s="30"/>
      <c r="M78" s="30"/>
      <c r="N78" s="30"/>
    </row>
    <row r="79" spans="2:14" x14ac:dyDescent="0.2">
      <c r="B79" s="103" t="s">
        <v>43</v>
      </c>
      <c r="C79" s="103" t="s">
        <v>141</v>
      </c>
      <c r="D79" s="30"/>
      <c r="E79" s="30"/>
      <c r="F79" s="30"/>
      <c r="G79" s="30"/>
      <c r="H79" s="30"/>
      <c r="I79" s="30"/>
      <c r="J79" s="30"/>
      <c r="K79" s="30"/>
      <c r="L79" s="30"/>
      <c r="M79" s="30"/>
      <c r="N79" s="30"/>
    </row>
    <row r="80" spans="2:14" ht="25.5" x14ac:dyDescent="0.2">
      <c r="B80" s="103" t="s">
        <v>109</v>
      </c>
      <c r="C80" s="103" t="s">
        <v>194</v>
      </c>
      <c r="D80" s="30"/>
      <c r="E80" s="30"/>
      <c r="F80" s="30"/>
      <c r="G80" s="30"/>
      <c r="H80" s="30"/>
      <c r="I80" s="30"/>
      <c r="J80" s="30"/>
      <c r="K80" s="30"/>
      <c r="L80" s="30"/>
      <c r="M80" s="30"/>
      <c r="N80" s="30"/>
    </row>
    <row r="81" spans="2:14" ht="38.25" x14ac:dyDescent="0.2">
      <c r="B81" s="103" t="s">
        <v>41</v>
      </c>
      <c r="C81" s="103" t="s">
        <v>182</v>
      </c>
      <c r="D81" s="30"/>
      <c r="E81" s="30"/>
      <c r="F81" s="30"/>
      <c r="G81" s="30"/>
      <c r="H81" s="30"/>
      <c r="I81" s="30"/>
      <c r="J81" s="30"/>
      <c r="K81" s="30"/>
      <c r="L81" s="30"/>
      <c r="M81" s="30"/>
      <c r="N81" s="30"/>
    </row>
    <row r="82" spans="2:14" ht="25.5" x14ac:dyDescent="0.2">
      <c r="B82" s="103" t="s">
        <v>101</v>
      </c>
      <c r="C82" s="103" t="s">
        <v>185</v>
      </c>
      <c r="D82" s="30"/>
      <c r="E82" s="30"/>
      <c r="F82" s="30"/>
      <c r="G82" s="30"/>
      <c r="H82" s="30"/>
      <c r="I82" s="30"/>
      <c r="J82" s="30"/>
      <c r="K82" s="30"/>
      <c r="L82" s="30"/>
      <c r="M82" s="30"/>
      <c r="N82" s="30"/>
    </row>
    <row r="83" spans="2:14" x14ac:dyDescent="0.2">
      <c r="B83" s="103" t="s">
        <v>100</v>
      </c>
      <c r="C83" s="103" t="s">
        <v>188</v>
      </c>
      <c r="D83" s="30"/>
      <c r="E83" s="30"/>
      <c r="F83" s="30"/>
      <c r="G83" s="30"/>
      <c r="H83" s="30"/>
      <c r="I83" s="30"/>
      <c r="J83" s="30"/>
      <c r="K83" s="30"/>
      <c r="L83" s="30"/>
      <c r="M83" s="30"/>
      <c r="N83" s="30"/>
    </row>
    <row r="84" spans="2:14" x14ac:dyDescent="0.2">
      <c r="B84" s="103" t="s">
        <v>39</v>
      </c>
      <c r="C84" s="103" t="s">
        <v>83</v>
      </c>
      <c r="D84" s="30"/>
      <c r="E84" s="30"/>
      <c r="F84" s="30"/>
      <c r="G84" s="30"/>
      <c r="H84" s="30"/>
      <c r="I84" s="30"/>
      <c r="J84" s="30"/>
      <c r="K84" s="30"/>
      <c r="L84" s="30"/>
      <c r="M84" s="30"/>
      <c r="N84" s="30"/>
    </row>
    <row r="85" spans="2:14" x14ac:dyDescent="0.2">
      <c r="B85" s="103" t="s">
        <v>53</v>
      </c>
      <c r="C85" s="103" t="s">
        <v>84</v>
      </c>
      <c r="D85" s="30"/>
      <c r="E85" s="30"/>
      <c r="F85" s="30"/>
      <c r="G85" s="30"/>
      <c r="H85" s="30"/>
      <c r="I85" s="30"/>
      <c r="J85" s="30"/>
      <c r="K85" s="30"/>
      <c r="L85" s="30"/>
      <c r="M85" s="30"/>
      <c r="N85" s="30"/>
    </row>
    <row r="86" spans="2:14" x14ac:dyDescent="0.2">
      <c r="B86" s="103" t="s">
        <v>53</v>
      </c>
      <c r="C86" s="103" t="s">
        <v>138</v>
      </c>
      <c r="D86" s="30"/>
      <c r="E86" s="30"/>
      <c r="F86" s="30"/>
      <c r="G86" s="30"/>
      <c r="H86" s="30"/>
      <c r="I86" s="30"/>
      <c r="J86" s="30"/>
      <c r="K86" s="30"/>
      <c r="L86" s="30"/>
      <c r="M86" s="30"/>
      <c r="N86" s="30"/>
    </row>
    <row r="87" spans="2:14" ht="38.25" x14ac:dyDescent="0.2">
      <c r="B87" s="105" t="s">
        <v>65</v>
      </c>
      <c r="C87" s="103" t="s">
        <v>161</v>
      </c>
      <c r="D87" s="30"/>
      <c r="E87" s="30"/>
      <c r="F87" s="30"/>
      <c r="G87" s="30"/>
      <c r="H87" s="30"/>
      <c r="I87" s="30"/>
      <c r="J87" s="30"/>
      <c r="K87" s="30"/>
      <c r="L87" s="30"/>
      <c r="M87" s="30"/>
      <c r="N87" s="30"/>
    </row>
    <row r="88" spans="2:14" ht="25.5" x14ac:dyDescent="0.2">
      <c r="B88" s="106" t="s">
        <v>69</v>
      </c>
      <c r="C88" s="103" t="s">
        <v>88</v>
      </c>
      <c r="D88" s="30"/>
      <c r="E88" s="30"/>
      <c r="F88" s="30"/>
      <c r="G88" s="30"/>
      <c r="H88" s="30"/>
      <c r="I88" s="30"/>
      <c r="J88" s="30"/>
      <c r="K88" s="30"/>
      <c r="L88" s="30"/>
      <c r="M88" s="30"/>
      <c r="N88" s="30"/>
    </row>
    <row r="89" spans="2:14" x14ac:dyDescent="0.2">
      <c r="B89" s="103" t="s">
        <v>176</v>
      </c>
      <c r="C89" s="103" t="s">
        <v>196</v>
      </c>
      <c r="D89" s="30"/>
      <c r="E89" s="30"/>
      <c r="F89" s="30"/>
      <c r="G89" s="30"/>
      <c r="H89" s="30"/>
      <c r="I89" s="30"/>
      <c r="J89" s="30"/>
      <c r="K89" s="30"/>
      <c r="L89" s="30"/>
      <c r="M89" s="30"/>
      <c r="N89" s="30"/>
    </row>
    <row r="90" spans="2:14" x14ac:dyDescent="0.2">
      <c r="B90" s="103" t="s">
        <v>160</v>
      </c>
      <c r="C90" s="103" t="s">
        <v>172</v>
      </c>
      <c r="D90" s="30"/>
      <c r="E90" s="30"/>
      <c r="F90" s="30"/>
      <c r="G90" s="30"/>
      <c r="H90" s="30"/>
      <c r="I90" s="30"/>
      <c r="J90" s="30"/>
      <c r="K90" s="30"/>
      <c r="L90" s="30"/>
      <c r="M90" s="30"/>
      <c r="N90" s="30"/>
    </row>
    <row r="91" spans="2:14" x14ac:dyDescent="0.2">
      <c r="B91" s="103" t="s">
        <v>50</v>
      </c>
      <c r="C91" s="103" t="s">
        <v>135</v>
      </c>
      <c r="D91" s="30"/>
      <c r="E91" s="30"/>
      <c r="F91" s="30"/>
      <c r="G91" s="30"/>
      <c r="H91" s="30"/>
      <c r="I91" s="30"/>
      <c r="J91" s="30"/>
      <c r="K91" s="30"/>
      <c r="L91" s="30"/>
      <c r="M91" s="30"/>
      <c r="N91" s="30"/>
    </row>
    <row r="92" spans="2:14" ht="38.25" x14ac:dyDescent="0.2">
      <c r="B92" s="107" t="s">
        <v>16</v>
      </c>
      <c r="C92" s="103" t="s">
        <v>225</v>
      </c>
      <c r="D92" s="30"/>
      <c r="E92" s="30"/>
      <c r="F92" s="30"/>
      <c r="G92" s="30"/>
      <c r="H92" s="30"/>
      <c r="I92" s="30"/>
      <c r="J92" s="30"/>
      <c r="K92" s="30"/>
      <c r="L92" s="30"/>
      <c r="M92" s="30"/>
      <c r="N92" s="30"/>
    </row>
    <row r="93" spans="2:14" ht="25.5" x14ac:dyDescent="0.2">
      <c r="B93" s="107" t="s">
        <v>215</v>
      </c>
      <c r="C93" s="103" t="s">
        <v>230</v>
      </c>
      <c r="D93" s="30"/>
      <c r="E93" s="30"/>
      <c r="F93" s="30"/>
      <c r="G93" s="30"/>
      <c r="H93" s="30"/>
      <c r="I93" s="30"/>
      <c r="J93" s="30"/>
      <c r="K93" s="30"/>
      <c r="L93" s="30"/>
      <c r="M93" s="30"/>
      <c r="N93" s="30"/>
    </row>
    <row r="94" spans="2:14" ht="25.5" x14ac:dyDescent="0.2">
      <c r="B94" s="107" t="s">
        <v>198</v>
      </c>
      <c r="C94" s="103" t="s">
        <v>231</v>
      </c>
      <c r="D94" s="30"/>
      <c r="E94" s="30"/>
      <c r="F94" s="30"/>
      <c r="G94" s="30"/>
      <c r="H94" s="30"/>
      <c r="I94" s="30"/>
      <c r="J94" s="30"/>
      <c r="K94" s="30"/>
      <c r="L94" s="30"/>
      <c r="M94" s="30"/>
      <c r="N94" s="30"/>
    </row>
    <row r="95" spans="2:14" ht="25.5" x14ac:dyDescent="0.2">
      <c r="B95" s="107" t="s">
        <v>208</v>
      </c>
      <c r="C95" s="103" t="s">
        <v>229</v>
      </c>
      <c r="D95" s="30"/>
      <c r="E95" s="30"/>
      <c r="F95" s="30"/>
      <c r="G95" s="30"/>
      <c r="H95" s="30"/>
      <c r="I95" s="30"/>
      <c r="J95" s="30"/>
      <c r="K95" s="30"/>
      <c r="L95" s="30"/>
      <c r="M95" s="30"/>
      <c r="N95" s="30"/>
    </row>
    <row r="96" spans="2:14" ht="28.15" customHeight="1" x14ac:dyDescent="0.2">
      <c r="B96" s="103" t="s">
        <v>15</v>
      </c>
      <c r="C96" s="108" t="s">
        <v>171</v>
      </c>
      <c r="D96" s="30"/>
      <c r="E96" s="30"/>
      <c r="F96" s="30"/>
      <c r="G96" s="30"/>
      <c r="H96" s="30"/>
      <c r="I96" s="30"/>
      <c r="J96" s="30"/>
      <c r="K96" s="30"/>
      <c r="L96" s="30"/>
      <c r="M96" s="30"/>
      <c r="N96" s="30"/>
    </row>
    <row r="97" spans="2:14" ht="28.15" customHeight="1" x14ac:dyDescent="0.2">
      <c r="B97" s="103" t="s">
        <v>205</v>
      </c>
      <c r="C97" s="108" t="s">
        <v>232</v>
      </c>
      <c r="D97" s="30"/>
      <c r="E97" s="30"/>
      <c r="F97" s="30"/>
      <c r="G97" s="30"/>
      <c r="H97" s="30"/>
      <c r="I97" s="30"/>
      <c r="J97" s="30"/>
      <c r="K97" s="30"/>
      <c r="L97" s="30"/>
      <c r="M97" s="30"/>
      <c r="N97" s="30"/>
    </row>
    <row r="98" spans="2:14" x14ac:dyDescent="0.2">
      <c r="B98" s="103" t="s">
        <v>199</v>
      </c>
      <c r="C98" s="108" t="s">
        <v>233</v>
      </c>
      <c r="D98" s="30"/>
      <c r="E98" s="30"/>
      <c r="F98" s="30"/>
      <c r="G98" s="30"/>
      <c r="H98" s="30"/>
      <c r="I98" s="30"/>
      <c r="J98" s="30"/>
      <c r="K98" s="30"/>
      <c r="L98" s="30"/>
      <c r="M98" s="30"/>
      <c r="N98" s="30"/>
    </row>
    <row r="99" spans="2:14" ht="38.25" x14ac:dyDescent="0.2">
      <c r="B99" s="103" t="s">
        <v>204</v>
      </c>
      <c r="C99" s="108" t="s">
        <v>234</v>
      </c>
      <c r="D99" s="30"/>
      <c r="E99" s="30"/>
      <c r="F99" s="30"/>
      <c r="G99" s="30"/>
      <c r="H99" s="30"/>
      <c r="I99" s="30"/>
      <c r="J99" s="30"/>
      <c r="K99" s="30"/>
      <c r="L99" s="30"/>
      <c r="M99" s="30"/>
      <c r="N99" s="30"/>
    </row>
    <row r="100" spans="2:14" ht="25.5" x14ac:dyDescent="0.2">
      <c r="B100" s="103" t="s">
        <v>200</v>
      </c>
      <c r="C100" s="103" t="s">
        <v>201</v>
      </c>
      <c r="D100" s="30"/>
      <c r="E100" s="30"/>
      <c r="F100" s="30"/>
      <c r="G100" s="30"/>
      <c r="H100" s="30"/>
      <c r="I100" s="30"/>
      <c r="J100" s="30"/>
      <c r="K100" s="30"/>
      <c r="L100" s="30"/>
      <c r="M100" s="30"/>
      <c r="N100" s="30"/>
    </row>
    <row r="101" spans="2:14" x14ac:dyDescent="0.2">
      <c r="B101" s="103" t="s">
        <v>6</v>
      </c>
      <c r="C101" s="103" t="s">
        <v>218</v>
      </c>
      <c r="D101" s="30"/>
      <c r="E101" s="30"/>
      <c r="F101" s="30"/>
      <c r="G101" s="30"/>
      <c r="H101" s="30"/>
      <c r="I101" s="30"/>
      <c r="J101" s="30"/>
      <c r="K101" s="30"/>
      <c r="L101" s="30"/>
      <c r="M101" s="30"/>
      <c r="N101" s="30"/>
    </row>
    <row r="102" spans="2:14" x14ac:dyDescent="0.2">
      <c r="B102" s="103" t="s">
        <v>216</v>
      </c>
      <c r="C102" s="103" t="s">
        <v>219</v>
      </c>
      <c r="D102" s="30"/>
      <c r="E102" s="30"/>
      <c r="F102" s="30"/>
      <c r="G102" s="30"/>
      <c r="H102" s="30"/>
      <c r="I102" s="30"/>
      <c r="J102" s="30"/>
      <c r="K102" s="30"/>
      <c r="L102" s="30"/>
      <c r="M102" s="30"/>
      <c r="N102" s="30"/>
    </row>
    <row r="103" spans="2:14" ht="25.5" x14ac:dyDescent="0.2">
      <c r="B103" s="107" t="s">
        <v>220</v>
      </c>
      <c r="C103" s="103" t="s">
        <v>221</v>
      </c>
      <c r="D103" s="30"/>
      <c r="E103" s="30"/>
      <c r="F103" s="30"/>
      <c r="G103" s="30"/>
      <c r="H103" s="30"/>
      <c r="I103" s="30"/>
      <c r="J103" s="30"/>
      <c r="K103" s="30"/>
      <c r="L103" s="30"/>
      <c r="M103" s="30"/>
      <c r="N103" s="30"/>
    </row>
    <row r="104" spans="2:14" x14ac:dyDescent="0.2">
      <c r="B104" s="103" t="s">
        <v>202</v>
      </c>
      <c r="C104" s="103" t="s">
        <v>214</v>
      </c>
      <c r="D104" s="30"/>
      <c r="E104" s="30"/>
      <c r="F104" s="30"/>
      <c r="G104" s="30"/>
      <c r="H104" s="30"/>
      <c r="I104" s="30"/>
      <c r="J104" s="30"/>
      <c r="K104" s="30"/>
      <c r="L104" s="30"/>
      <c r="M104" s="30"/>
      <c r="N104" s="30"/>
    </row>
    <row r="105" spans="2:14" x14ac:dyDescent="0.2">
      <c r="B105" s="103" t="s">
        <v>28</v>
      </c>
      <c r="C105" s="103" t="s">
        <v>80</v>
      </c>
      <c r="D105" s="30"/>
      <c r="E105" s="30"/>
      <c r="F105" s="30"/>
      <c r="G105" s="30"/>
      <c r="H105" s="30"/>
      <c r="I105" s="30"/>
      <c r="J105" s="30"/>
      <c r="K105" s="30"/>
      <c r="L105" s="30"/>
      <c r="M105" s="30"/>
      <c r="N105" s="30"/>
    </row>
    <row r="106" spans="2:14" x14ac:dyDescent="0.2">
      <c r="B106" s="103" t="s">
        <v>34</v>
      </c>
      <c r="C106" s="103" t="s">
        <v>149</v>
      </c>
      <c r="D106" s="30"/>
      <c r="E106" s="30"/>
      <c r="F106" s="30"/>
      <c r="G106" s="30"/>
      <c r="H106" s="30"/>
      <c r="I106" s="30"/>
      <c r="J106" s="30"/>
      <c r="K106" s="30"/>
      <c r="L106" s="30"/>
      <c r="M106" s="30"/>
      <c r="N106" s="30"/>
    </row>
    <row r="107" spans="2:14" ht="25.5" x14ac:dyDescent="0.2">
      <c r="B107" s="103" t="s">
        <v>35</v>
      </c>
      <c r="C107" s="103" t="s">
        <v>157</v>
      </c>
      <c r="D107" s="30"/>
      <c r="E107" s="30"/>
      <c r="F107" s="30"/>
      <c r="G107" s="30"/>
      <c r="H107" s="30"/>
      <c r="I107" s="30"/>
      <c r="J107" s="30"/>
      <c r="K107" s="30"/>
      <c r="L107" s="30"/>
      <c r="M107" s="30"/>
      <c r="N107" s="30"/>
    </row>
    <row r="108" spans="2:14" x14ac:dyDescent="0.2">
      <c r="B108" s="103" t="s">
        <v>1</v>
      </c>
      <c r="C108" s="103" t="s">
        <v>158</v>
      </c>
      <c r="D108" s="30"/>
      <c r="E108" s="30"/>
      <c r="F108" s="30"/>
      <c r="G108" s="30"/>
      <c r="H108" s="30"/>
      <c r="I108" s="30"/>
      <c r="J108" s="30"/>
      <c r="K108" s="30"/>
      <c r="L108" s="30"/>
      <c r="M108" s="30"/>
      <c r="N108" s="30"/>
    </row>
    <row r="109" spans="2:14" ht="25.5" x14ac:dyDescent="0.2">
      <c r="B109" s="103" t="s">
        <v>54</v>
      </c>
      <c r="C109" s="103" t="s">
        <v>159</v>
      </c>
      <c r="D109" s="30"/>
      <c r="E109" s="30"/>
      <c r="F109" s="30"/>
      <c r="G109" s="30"/>
      <c r="H109" s="30"/>
      <c r="I109" s="30"/>
      <c r="J109" s="30"/>
      <c r="K109" s="30"/>
      <c r="L109" s="30"/>
      <c r="M109" s="30"/>
      <c r="N109" s="30"/>
    </row>
    <row r="110" spans="2:14" ht="38.25" x14ac:dyDescent="0.2">
      <c r="B110" s="103" t="s">
        <v>32</v>
      </c>
      <c r="C110" s="103" t="s">
        <v>222</v>
      </c>
      <c r="D110" s="30"/>
      <c r="E110" s="30"/>
      <c r="F110" s="30"/>
      <c r="G110" s="30"/>
      <c r="H110" s="30"/>
      <c r="I110" s="30"/>
      <c r="J110" s="30"/>
      <c r="K110" s="30"/>
      <c r="L110" s="30"/>
      <c r="M110" s="30"/>
      <c r="N110" s="30"/>
    </row>
    <row r="111" spans="2:14" x14ac:dyDescent="0.2">
      <c r="B111" s="103" t="s">
        <v>74</v>
      </c>
      <c r="C111" s="103" t="s">
        <v>195</v>
      </c>
    </row>
  </sheetData>
  <mergeCells count="2">
    <mergeCell ref="B5:C5"/>
    <mergeCell ref="B7:C7"/>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6320943D6C2B14B9F8F05F1668EC6C8" ma:contentTypeVersion="2" ma:contentTypeDescription="Create a new document." ma:contentTypeScope="" ma:versionID="5eba13834082d4c55b1dac2596c9b119">
  <xsd:schema xmlns:xsd="http://www.w3.org/2001/XMLSchema" xmlns:xs="http://www.w3.org/2001/XMLSchema" xmlns:p="http://schemas.microsoft.com/office/2006/metadata/properties" xmlns:ns2="2777dcbf-a18e-4cdf-99b4-0fbfbee22629" xmlns:ns3="ef66c0c8-142b-4c59-93f2-831009d530b4" targetNamespace="http://schemas.microsoft.com/office/2006/metadata/properties" ma:root="true" ma:fieldsID="baa3b5dbafdae2f6a34c6b9dc815fa77" ns2:_="" ns3:_="">
    <xsd:import namespace="2777dcbf-a18e-4cdf-99b4-0fbfbee22629"/>
    <xsd:import namespace="ef66c0c8-142b-4c59-93f2-831009d530b4"/>
    <xsd:element name="properties">
      <xsd:complexType>
        <xsd:sequence>
          <xsd:element name="documentManagement">
            <xsd:complexType>
              <xsd:all>
                <xsd:element ref="ns2:Category"/>
                <xsd:element ref="ns3:SharedWithUser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77dcbf-a18e-4cdf-99b4-0fbfbee22629" elementFormDefault="qualified">
    <xsd:import namespace="http://schemas.microsoft.com/office/2006/documentManagement/types"/>
    <xsd:import namespace="http://schemas.microsoft.com/office/infopath/2007/PartnerControls"/>
    <xsd:element name="Category" ma:index="8" ma:displayName="Category" ma:format="Dropdown" ma:internalName="Category">
      <xsd:simpleType>
        <xsd:restriction base="dms:Choice">
          <xsd:enumeration value="Benefits of Recycling"/>
          <xsd:enumeration value="Data Nuggets"/>
          <xsd:enumeration value="OFM Measures"/>
          <xsd:enumeration value="Planning &amp; Process"/>
          <xsd:enumeration value="Reports &amp; Data"/>
          <xsd:enumeration value="Waste Characterization"/>
          <xsd:enumeration value="Data Resources"/>
          <xsd:enumeration value="SWM Annual Status Report"/>
          <xsd:enumeration value="Commodity Pricing Data"/>
          <xsd:enumeration value="SWM Annual Status Report Content"/>
          <xsd:enumeration value="EPA Research"/>
          <xsd:enumeration value="2019-2021 Draft Data"/>
          <xsd:enumeration value="County Data"/>
          <xsd:enumeration value="Emissions Inventory Work"/>
        </xsd:restriction>
      </xsd:simpleType>
    </xsd:element>
  </xsd:schema>
  <xsd:schema xmlns:xsd="http://www.w3.org/2001/XMLSchema" xmlns:xs="http://www.w3.org/2001/XMLSchema" xmlns:dms="http://schemas.microsoft.com/office/2006/documentManagement/types" xmlns:pc="http://schemas.microsoft.com/office/infopath/2007/PartnerControls" targetNamespace="ef66c0c8-142b-4c59-93f2-831009d530b4" elementFormDefault="qualified">
    <xsd:import namespace="http://schemas.microsoft.com/office/2006/documentManagement/types"/>
    <xsd:import namespace="http://schemas.microsoft.com/office/infopath/2007/PartnerControls"/>
    <xsd:element name="SharedWithUsers" ma:index="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Category xmlns="2777dcbf-a18e-4cdf-99b4-0fbfbee22629">Reports &amp; Data</Category>
    <_dlc_DocId xmlns="ef66c0c8-142b-4c59-93f2-831009d530b4">SH7A6FU2NYNQ-2130651617-391</_dlc_DocId>
    <_dlc_DocIdUrl xmlns="ef66c0c8-142b-4c59-93f2-831009d530b4">
      <Url>http://teams/sites/W2R/_layouts/15/DocIdRedir.aspx?ID=SH7A6FU2NYNQ-2130651617-391</Url>
      <Description>SH7A6FU2NYNQ-2130651617-391</Description>
    </_dlc_DocIdUrl>
  </documentManagement>
</p:properties>
</file>

<file path=customXml/itemProps1.xml><?xml version="1.0" encoding="utf-8"?>
<ds:datastoreItem xmlns:ds="http://schemas.openxmlformats.org/officeDocument/2006/customXml" ds:itemID="{D91E89EF-4404-4DE2-9A6F-2618FF61E54C}">
  <ds:schemaRefs>
    <ds:schemaRef ds:uri="http://schemas.microsoft.com/sharepoint/events"/>
  </ds:schemaRefs>
</ds:datastoreItem>
</file>

<file path=customXml/itemProps2.xml><?xml version="1.0" encoding="utf-8"?>
<ds:datastoreItem xmlns:ds="http://schemas.openxmlformats.org/officeDocument/2006/customXml" ds:itemID="{D5E01EA2-78BB-4E10-ADFE-78359FA5E82A}">
  <ds:schemaRefs>
    <ds:schemaRef ds:uri="http://schemas.microsoft.com/sharepoint/v3/contenttype/forms"/>
  </ds:schemaRefs>
</ds:datastoreItem>
</file>

<file path=customXml/itemProps3.xml><?xml version="1.0" encoding="utf-8"?>
<ds:datastoreItem xmlns:ds="http://schemas.openxmlformats.org/officeDocument/2006/customXml" ds:itemID="{397EC157-A95B-4118-963C-B3CF4A2E56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77dcbf-a18e-4cdf-99b4-0fbfbee22629"/>
    <ds:schemaRef ds:uri="ef66c0c8-142b-4c59-93f2-831009d530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741514F-5EBB-45AE-B99D-244865DF0A62}">
  <ds:schemaRefs>
    <ds:schemaRef ds:uri="http://schemas.microsoft.com/office/2006/metadata/properties"/>
    <ds:schemaRef ds:uri="http://schemas.microsoft.com/office/infopath/2007/PartnerControls"/>
    <ds:schemaRef ds:uri="2777dcbf-a18e-4cdf-99b4-0fbfbee22629"/>
    <ds:schemaRef ds:uri="ef66c0c8-142b-4c59-93f2-831009d530b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1-Waste Gen Recovery Data</vt:lpstr>
      <vt:lpstr>2-Charts</vt:lpstr>
      <vt:lpstr>3-Info-Notes</vt:lpstr>
      <vt:lpstr>'1-Waste Gen Recovery Data'!Print_Area</vt:lpstr>
    </vt:vector>
  </TitlesOfParts>
  <Company>WA STATE DEPT OF ECOLOGY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Kip Eagles</dc:creator>
  <cp:lastModifiedBy>Brady, Megan (ECY)</cp:lastModifiedBy>
  <cp:lastPrinted>2019-11-09T02:04:11Z</cp:lastPrinted>
  <dcterms:created xsi:type="dcterms:W3CDTF">1999-01-08T21:51:53Z</dcterms:created>
  <dcterms:modified xsi:type="dcterms:W3CDTF">2025-05-08T21:57:44Z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0x010100D6320943D6C2B14B9F8F05F1668EC6C8</vt:lpwstr>
  </property>
  <property fmtid="{D5CDD505-2E9C-101B-9397-08002B2CF9AE}" pid="3" name="_dlc_DocIdItemGuid">
    <vt:lpwstr>fdb5cee5-6680-48d2-975e-c1dc6f6765cb</vt:lpwstr>
  </property>
</Properties>
</file>