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85" yWindow="300" windowWidth="9210" windowHeight="4950" tabRatio="846" activeTab="6"/>
  </bookViews>
  <sheets>
    <sheet name="Warning" sheetId="1" r:id="rId1"/>
    <sheet name="title_caution" sheetId="2" r:id="rId2"/>
    <sheet name="Disclaimer" sheetId="3" r:id="rId3"/>
    <sheet name="dialog1" sheetId="4" r:id="rId4"/>
    <sheet name="dialog3" sheetId="5" r:id="rId5"/>
    <sheet name="Title" sheetId="6" r:id="rId6"/>
    <sheet name="Method B Soil_CLU" sheetId="7" r:id="rId7"/>
    <sheet name="Method B GW_CLU" sheetId="8" r:id="rId8"/>
  </sheets>
  <externalReferences>
    <externalReference r:id="rId11"/>
    <externalReference r:id="rId12"/>
    <externalReference r:id="rId13"/>
  </externalReferences>
  <definedNames>
    <definedName name="AB" localSheetId="3">'[2]InputOutput'!#REF!</definedName>
    <definedName name="AB" localSheetId="4">'[2]InputOutput'!#REF!</definedName>
    <definedName name="AB" localSheetId="2">'[2]InputOutput'!#REF!</definedName>
    <definedName name="AB" localSheetId="1">'[2]InputOutput'!#REF!</definedName>
    <definedName name="AB" localSheetId="0">'[2]InputOutput'!#REF!</definedName>
    <definedName name="AB1_CS">'Method B Soil_CLU'!$T$53</definedName>
    <definedName name="AB1_NS">'Method B Soil_CLU'!$T$38</definedName>
    <definedName name="ABS_CA">'Method B Soil_CLU'!$T$71</definedName>
    <definedName name="ABS_CS">'Method B Soil_CLU'!$T$61</definedName>
    <definedName name="ABS_NA">'Method B Soil_CLU'!$T$37</definedName>
    <definedName name="ABS_NS">'Method B Soil_CLU'!$T$40</definedName>
    <definedName name="ABW_CA">'Method B Soil_CLU'!$T$70</definedName>
    <definedName name="ABW_CG">'Method B Soil_CLU'!$T$64</definedName>
    <definedName name="ABW_CS">'Method B Soil_CLU'!$T$50</definedName>
    <definedName name="ABW_N">'Method B Soil_CLU'!$T$27</definedName>
    <definedName name="AF_CS">'Method B Soil_CLU'!$T$60</definedName>
    <definedName name="AF_NS">'Method B Soil_CLU'!$T$39</definedName>
    <definedName name="ARAR_Comp">'Method B GW_CLU'!$L$18</definedName>
    <definedName name="ARAR_GW">'Method B Soil_CLU'!$T$81</definedName>
    <definedName name="AT_CS">'Method B Soil_CLU'!$T$56</definedName>
    <definedName name="AT_NS">'Method B Soil_CLU'!$T$31</definedName>
    <definedName name="BR_CA">'Method B Soil_CLU'!$T$72</definedName>
    <definedName name="BR_NA">'Method B Soil_CLU'!$T$47</definedName>
    <definedName name="C_GW_RISK">'Method B GW_CLU'!$L$14</definedName>
    <definedName name="C_GW_Risk_5">'Method B GW_CLU'!$L$15</definedName>
    <definedName name="c_gw_risk_5_METHODC">'Method B GW_CLU'!$L$31</definedName>
    <definedName name="C_GW_risk_methodc">'Method B GW_CLU'!$L$30</definedName>
    <definedName name="Carcino?">'Method B Soil_CLU'!$T$15</definedName>
    <definedName name="CPFd">'Method B Soil_CLU'!$T$63</definedName>
    <definedName name="CPFi">'Method B Soil_CLU'!$T$26</definedName>
    <definedName name="CPFo">'Method B Soil_CLU'!$T$24</definedName>
    <definedName name="Cs">'Method B Soil_CLU'!$T$14</definedName>
    <definedName name="De" localSheetId="3">'[3]SOILMOD'!#REF!</definedName>
    <definedName name="De" localSheetId="4">'[3]SOILMOD'!#REF!</definedName>
    <definedName name="De" localSheetId="2">'[3]SOILMOD'!#REF!</definedName>
    <definedName name="De" localSheetId="1">'[3]SOILMOD'!#REF!</definedName>
    <definedName name="De" localSheetId="0">'[3]SOILMOD'!#REF!</definedName>
    <definedName name="densit">'Method B Soil_CLU'!$T$88</definedName>
    <definedName name="Depth" localSheetId="3">'[3]SOILMOD'!#REF!</definedName>
    <definedName name="Depth" localSheetId="4">'[3]SOILMOD'!#REF!</definedName>
    <definedName name="Depth" localSheetId="2">'[3]SOILMOD'!#REF!</definedName>
    <definedName name="Depth" localSheetId="1">'[3]SOILMOD'!#REF!</definedName>
    <definedName name="Depth" localSheetId="0">'[3]SOILMOD'!#REF!</definedName>
    <definedName name="DF">'Method B Soil_CLU'!$T$91</definedName>
    <definedName name="dh2o" localSheetId="3">#REF!</definedName>
    <definedName name="dh2o" localSheetId="4">#REF!</definedName>
    <definedName name="dh2o" localSheetId="2">#REF!</definedName>
    <definedName name="dh2o" localSheetId="1">#REF!</definedName>
    <definedName name="dh2o" localSheetId="0">#REF!</definedName>
    <definedName name="dHc" localSheetId="3">'[2]InputOutput'!#REF!</definedName>
    <definedName name="dHc" localSheetId="4">'[2]InputOutput'!#REF!</definedName>
    <definedName name="dHc" localSheetId="2">'[2]InputOutput'!#REF!</definedName>
    <definedName name="dHc" localSheetId="5">'[1]InputOutput'!#REF!</definedName>
    <definedName name="dHc" localSheetId="1">'[2]InputOutput'!#REF!</definedName>
    <definedName name="dHc" localSheetId="0">'[2]InputOutput'!#REF!</definedName>
    <definedName name="DP" localSheetId="3">'[2]InputOutput'!#REF!</definedName>
    <definedName name="DP" localSheetId="4">'[2]InputOutput'!#REF!</definedName>
    <definedName name="DP" localSheetId="2">'[2]InputOutput'!#REF!</definedName>
    <definedName name="DP" localSheetId="5">'[1]InputOutput'!#REF!</definedName>
    <definedName name="DP" localSheetId="1">'[2]InputOutput'!#REF!</definedName>
    <definedName name="DP" localSheetId="0">'[2]InputOutput'!#REF!</definedName>
    <definedName name="DUR" localSheetId="3">'[2]DC_InputOutput'!#REF!</definedName>
    <definedName name="DUR" localSheetId="4">'[2]DC_InputOutput'!#REF!</definedName>
    <definedName name="DUR" localSheetId="2">'[2]DC_InputOutput'!#REF!</definedName>
    <definedName name="DUR" localSheetId="5">'[1]DC_InputOutput'!#REF!</definedName>
    <definedName name="DUR" localSheetId="1">'[2]DC_InputOutput'!#REF!</definedName>
    <definedName name="DUR" localSheetId="0">'[2]DC_InputOutput'!#REF!</definedName>
    <definedName name="DUR_CA">'Method B Soil_CLU'!$T$95</definedName>
    <definedName name="DUR_CG">'Method B Soil_CLU'!$T$67</definedName>
    <definedName name="DUR_CS">'Method B Soil_CLU'!$T$54</definedName>
    <definedName name="DWF_CG">'Method B Soil_CLU'!$T$69</definedName>
    <definedName name="DWF_NG">'Method B Soil_CLU'!$T$45</definedName>
    <definedName name="DWIR_CG">'Method B Soil_CLU'!$T$66</definedName>
    <definedName name="DWIR_NG">'Method B Soil_CLU'!$T$44</definedName>
    <definedName name="ED_CS">'Method B Soil_CLU'!$T$58</definedName>
    <definedName name="ED_NS">'Method B Soil_CLU'!$T$33</definedName>
    <definedName name="EF_CS">'Method B Soil_CLU'!$T$57</definedName>
    <definedName name="EF_NS">'Method B Soil_CLU'!$T$32</definedName>
    <definedName name="eta" localSheetId="3">'[2]InputOutput'!#REF!</definedName>
    <definedName name="eta" localSheetId="4">'[2]InputOutput'!#REF!</definedName>
    <definedName name="eta" localSheetId="2">'[2]InputOutput'!#REF!</definedName>
    <definedName name="eta" localSheetId="5">'[1]InputOutput'!#REF!</definedName>
    <definedName name="eta" localSheetId="1">'[2]InputOutput'!#REF!</definedName>
    <definedName name="eta" localSheetId="0">'[2]InputOutput'!#REF!</definedName>
    <definedName name="fit_1">'Method B Soil_CLU'!$A$2:$U$2</definedName>
    <definedName name="FIT_gw">'Method B GW_CLU'!$A$3:$R$3</definedName>
    <definedName name="foc">'Method B Soil_CLU'!$T$90</definedName>
    <definedName name="FOE" localSheetId="3">'[2]DC_InputOutput'!#REF!</definedName>
    <definedName name="FOE" localSheetId="4">'[2]DC_InputOutput'!#REF!</definedName>
    <definedName name="FOE" localSheetId="2">'[2]DC_InputOutput'!#REF!</definedName>
    <definedName name="FOE" localSheetId="5">'[1]DC_InputOutput'!#REF!</definedName>
    <definedName name="FOE" localSheetId="1">'[2]DC_InputOutput'!#REF!</definedName>
    <definedName name="FOE" localSheetId="0">'[2]DC_InputOutput'!#REF!</definedName>
    <definedName name="FOE_CS">'Method B Soil_CLU'!$T$55</definedName>
    <definedName name="FOE_NS">'Method B Soil_CLU'!$T$30</definedName>
    <definedName name="GI_CS">'Method B Soil_CLU'!$T$62</definedName>
    <definedName name="GI_NS">'Method B Soil_CLU'!$T$41</definedName>
    <definedName name="H" localSheetId="3">#REF!</definedName>
    <definedName name="H" localSheetId="4">#REF!</definedName>
    <definedName name="H" localSheetId="2">#REF!</definedName>
    <definedName name="H" localSheetId="5">#REF!</definedName>
    <definedName name="H" localSheetId="1">#REF!</definedName>
    <definedName name="H" localSheetId="0">#REF!</definedName>
    <definedName name="H">'Method B Soil_CLU'!$T$77</definedName>
    <definedName name="HB" localSheetId="3">'[2]InputOutput'!#REF!</definedName>
    <definedName name="HB" localSheetId="4">'[2]InputOutput'!#REF!</definedName>
    <definedName name="HB" localSheetId="2">'[2]InputOutput'!#REF!</definedName>
    <definedName name="HB" localSheetId="5">'[1]InputOutput'!#REF!</definedName>
    <definedName name="HB" localSheetId="1">'[2]InputOutput'!#REF!</definedName>
    <definedName name="HB" localSheetId="0">'[2]InputOutput'!#REF!</definedName>
    <definedName name="hcap" localSheetId="3">'[2]InputOutput'!#REF!</definedName>
    <definedName name="hcap" localSheetId="4">'[2]InputOutput'!#REF!</definedName>
    <definedName name="hcap" localSheetId="2">'[2]InputOutput'!#REF!</definedName>
    <definedName name="hcap" localSheetId="5">'[1]InputOutput'!#REF!</definedName>
    <definedName name="hcap" localSheetId="1">'[2]InputOutput'!#REF!</definedName>
    <definedName name="hcap" localSheetId="0">'[2]InputOutput'!#REF!</definedName>
    <definedName name="Hcc">'Method B Soil_CLU'!$T$76</definedName>
    <definedName name="He" localSheetId="3">'[3]SOILMOD'!#REF!</definedName>
    <definedName name="He" localSheetId="4">'[3]SOILMOD'!#REF!</definedName>
    <definedName name="He" localSheetId="2">'[3]SOILMOD'!#REF!</definedName>
    <definedName name="He" localSheetId="1">'[3]SOILMOD'!#REF!</definedName>
    <definedName name="He" localSheetId="0">'[3]SOILMOD'!#REF!</definedName>
    <definedName name="HQ">'Method B Soil_CLU'!$T$82</definedName>
    <definedName name="INH_CG">'Method B Soil_CLU'!$T$68</definedName>
    <definedName name="INH_NG">'Method B Soil_CLU'!$T$36</definedName>
    <definedName name="inhalCarcino?">'Method B Soil_CLU'!$T$16</definedName>
    <definedName name="Koc">'Method B Soil_CLU'!$T$75</definedName>
    <definedName name="kv" localSheetId="3">'[2]InputOutput'!#REF!</definedName>
    <definedName name="kv" localSheetId="4">'[2]InputOutput'!#REF!</definedName>
    <definedName name="kv" localSheetId="2">'[2]InputOutput'!#REF!</definedName>
    <definedName name="kv" localSheetId="5">'[1]InputOutput'!#REF!</definedName>
    <definedName name="kv" localSheetId="1">'[2]InputOutput'!#REF!</definedName>
    <definedName name="kv" localSheetId="0">'[2]InputOutput'!#REF!</definedName>
    <definedName name="Lcrack" localSheetId="3">'[2]InputOutput'!#REF!</definedName>
    <definedName name="Lcrack" localSheetId="4">'[2]InputOutput'!#REF!</definedName>
    <definedName name="Lcrack" localSheetId="2">'[2]InputOutput'!#REF!</definedName>
    <definedName name="Lcrack" localSheetId="5">'[1]InputOutput'!#REF!</definedName>
    <definedName name="Lcrack" localSheetId="1">'[2]InputOutput'!#REF!</definedName>
    <definedName name="Lcrack" localSheetId="0">'[2]InputOutput'!#REF!</definedName>
    <definedName name="Lgw" localSheetId="3">'[2]InputOutput'!#REF!</definedName>
    <definedName name="Lgw" localSheetId="4">'[2]InputOutput'!#REF!</definedName>
    <definedName name="Lgw" localSheetId="2">'[2]InputOutput'!#REF!</definedName>
    <definedName name="Lgw" localSheetId="5">'[1]InputOutput'!#REF!</definedName>
    <definedName name="Lgw" localSheetId="1">'[2]InputOutput'!#REF!</definedName>
    <definedName name="Lgw" localSheetId="0">'[2]InputOutput'!#REF!</definedName>
    <definedName name="LIFE_C">'Method B Soil_CLU'!$T$49</definedName>
    <definedName name="LT" localSheetId="3">'[2]InputOutput'!#REF!</definedName>
    <definedName name="LT" localSheetId="4">'[2]InputOutput'!#REF!</definedName>
    <definedName name="LT" localSheetId="2">'[2]InputOutput'!#REF!</definedName>
    <definedName name="LT" localSheetId="5">'[1]InputOutput'!#REF!</definedName>
    <definedName name="LT" localSheetId="1">'[2]InputOutput'!#REF!</definedName>
    <definedName name="LT" localSheetId="0">'[2]InputOutput'!#REF!</definedName>
    <definedName name="LTO" localSheetId="3">'[2]InputOutput'!#REF!</definedName>
    <definedName name="LTO" localSheetId="4">'[2]InputOutput'!#REF!</definedName>
    <definedName name="LTO" localSheetId="2">'[2]InputOutput'!#REF!</definedName>
    <definedName name="LTO" localSheetId="5">'[1]InputOutput'!#REF!</definedName>
    <definedName name="LTO" localSheetId="1">'[2]InputOutput'!#REF!</definedName>
    <definedName name="LTO" localSheetId="0">'[2]InputOutput'!#REF!</definedName>
    <definedName name="Mo" localSheetId="3">'[3]SOILMOD'!#REF!</definedName>
    <definedName name="Mo" localSheetId="4">'[3]SOILMOD'!#REF!</definedName>
    <definedName name="Mo" localSheetId="2">'[3]SOILMOD'!#REF!</definedName>
    <definedName name="Mo" localSheetId="1">'[3]SOILMOD'!#REF!</definedName>
    <definedName name="Mo" localSheetId="0">'[3]SOILMOD'!#REF!</definedName>
    <definedName name="n">'Method B Soil_CLU'!$T$85</definedName>
    <definedName name="NBG">'Method B GW_CLU'!$L$17</definedName>
    <definedName name="NC_GW_HQ">'Method B GW_CLU'!$L$13</definedName>
    <definedName name="NC_GW_HQ_MTHODC">'Method B GW_CLU'!$L$29</definedName>
    <definedName name="Oa" localSheetId="3">'[3]SOILMOD'!#REF!</definedName>
    <definedName name="Oa" localSheetId="4">'[3]SOILMOD'!#REF!</definedName>
    <definedName name="Oa" localSheetId="2">'[3]SOILMOD'!#REF!</definedName>
    <definedName name="Oa" localSheetId="1">'[3]SOILMOD'!#REF!</definedName>
    <definedName name="Oa" localSheetId="0">'[3]SOILMOD'!#REF!</definedName>
    <definedName name="Ow" localSheetId="3">'[3]SOILMOD'!#REF!</definedName>
    <definedName name="Ow" localSheetId="4">'[3]SOILMOD'!#REF!</definedName>
    <definedName name="Ow" localSheetId="2">'[3]SOILMOD'!#REF!</definedName>
    <definedName name="Ow" localSheetId="1">'[3]SOILMOD'!#REF!</definedName>
    <definedName name="Ow" localSheetId="0">'[3]SOILMOD'!#REF!</definedName>
    <definedName name="PQL">'Method B GW_CLU'!$L$16</definedName>
    <definedName name="predAir">'Method B Soil_CLU'!$I$136</definedName>
    <definedName name="prediGW">'Method B Soil_CLU'!$I$129</definedName>
    <definedName name="_xlnm.Print_Area" localSheetId="6">'Method B Soil_CLU'!$A$1:$U$163</definedName>
    <definedName name="_xlnm.Print_Area" localSheetId="5">'Title'!$B$1:$H$24</definedName>
    <definedName name="Qa">'Method B Soil_CLU'!$T$87</definedName>
    <definedName name="Qw">'Method B Soil_CLU'!$T$86</definedName>
    <definedName name="RfDd">'Method B Soil_CLU'!$T$42</definedName>
    <definedName name="RfDi">'Method B Soil_CLU'!$T$25</definedName>
    <definedName name="RfDo">'Method B Soil_CLU'!$T$23</definedName>
    <definedName name="RISK">'Method B Soil_CLU'!$T$83</definedName>
    <definedName name="SA_CS">'Method B Soil_CLU'!$T$59</definedName>
    <definedName name="SA_NS">'Method B Soil_CLU'!$T$34</definedName>
    <definedName name="SIR_CS">'Method B Soil_CLU'!$T$52</definedName>
    <definedName name="SIR_NS">'Method B Soil_CLU'!$T$29</definedName>
    <definedName name="Solu">'Method B Soil_CLU'!$T$79</definedName>
    <definedName name="solver_adj" localSheetId="7" hidden="1">'Method B GW_CLU'!#REF!</definedName>
    <definedName name="solver_adj" localSheetId="6" hidden="1">'Method B Soil_CLU'!$T$14</definedName>
    <definedName name="solver_cvg" localSheetId="7" hidden="1">0.001</definedName>
    <definedName name="solver_cvg" localSheetId="6" hidden="1">0.001</definedName>
    <definedName name="solver_drv" localSheetId="7" hidden="1">1</definedName>
    <definedName name="solver_drv" localSheetId="6" hidden="1">1</definedName>
    <definedName name="solver_est" localSheetId="7" hidden="1">1</definedName>
    <definedName name="solver_est" localSheetId="6" hidden="1">1</definedName>
    <definedName name="solver_itr" localSheetId="7" hidden="1">100</definedName>
    <definedName name="solver_itr" localSheetId="6" hidden="1">100</definedName>
    <definedName name="solver_lin" localSheetId="7" hidden="1">2</definedName>
    <definedName name="solver_lin" localSheetId="6" hidden="1">2</definedName>
    <definedName name="solver_neg" localSheetId="7" hidden="1">2</definedName>
    <definedName name="solver_neg" localSheetId="6" hidden="1">2</definedName>
    <definedName name="solver_num" localSheetId="7" hidden="1">0</definedName>
    <definedName name="solver_num" localSheetId="6" hidden="1">0</definedName>
    <definedName name="solver_nwt" localSheetId="7" hidden="1">1</definedName>
    <definedName name="solver_nwt" localSheetId="6" hidden="1">1</definedName>
    <definedName name="solver_opt" localSheetId="7" hidden="1">'Method B GW_CLU'!#REF!</definedName>
    <definedName name="solver_opt" localSheetId="6" hidden="1">'Method B Soil_CLU'!#REF!</definedName>
    <definedName name="solver_pre" localSheetId="7" hidden="1">0.000001</definedName>
    <definedName name="solver_pre" localSheetId="6" hidden="1">0.000001</definedName>
    <definedName name="solver_scl" localSheetId="7" hidden="1">2</definedName>
    <definedName name="solver_scl" localSheetId="6" hidden="1">2</definedName>
    <definedName name="solver_sho" localSheetId="7" hidden="1">2</definedName>
    <definedName name="solver_sho" localSheetId="6" hidden="1">2</definedName>
    <definedName name="solver_tim" localSheetId="7" hidden="1">100</definedName>
    <definedName name="solver_tim" localSheetId="6" hidden="1">100</definedName>
    <definedName name="solver_tol" localSheetId="7" hidden="1">0.05</definedName>
    <definedName name="solver_tol" localSheetId="6" hidden="1">0.05</definedName>
    <definedName name="solver_typ" localSheetId="7" hidden="1">3</definedName>
    <definedName name="solver_typ" localSheetId="6" hidden="1">3</definedName>
    <definedName name="solver_val" localSheetId="7" hidden="1">0</definedName>
    <definedName name="solver_val" localSheetId="6" hidden="1">0</definedName>
    <definedName name="std">'Method B Soil_CLU'!$T$18</definedName>
    <definedName name="title_fit1">'Title'!$B$1:$H$1</definedName>
    <definedName name="UCF_CA">'Method B Soil_CLU'!$T$73</definedName>
    <definedName name="UCF_CG">'Method B Soil_CLU'!$T$65</definedName>
    <definedName name="UCF_NA">'Method B Soil_CLU'!$T$46</definedName>
    <definedName name="UCF_NG">'Method B Soil_CLU'!$T$43</definedName>
    <definedName name="UCF_NS">'Method B Soil_CLU'!$T$28</definedName>
    <definedName name="UCF1" localSheetId="3">'[2]DC_InputOutput'!#REF!</definedName>
    <definedName name="UCF1" localSheetId="4">'[2]DC_InputOutput'!#REF!</definedName>
    <definedName name="UCF1" localSheetId="2">'[2]DC_InputOutput'!#REF!</definedName>
    <definedName name="UCF1" localSheetId="5">'[1]DC_InputOutput'!#REF!</definedName>
    <definedName name="UCF1" localSheetId="1">'[2]DC_InputOutput'!#REF!</definedName>
    <definedName name="UCF1" localSheetId="0">'[2]DC_InputOutput'!#REF!</definedName>
    <definedName name="UCF1_CS">'Method B Soil_CLU'!$T$51</definedName>
    <definedName name="VAF">'Method B Soil_CLU'!$T$94</definedName>
    <definedName name="Vbuilding" localSheetId="3">'[2]InputOutput'!#REF!</definedName>
    <definedName name="Vbuilding" localSheetId="4">'[2]InputOutput'!#REF!</definedName>
    <definedName name="Vbuilding" localSheetId="2">'[2]InputOutput'!#REF!</definedName>
    <definedName name="Vbuilding" localSheetId="5">'[1]InputOutput'!#REF!</definedName>
    <definedName name="Vbuilding" localSheetId="1">'[2]InputOutput'!#REF!</definedName>
    <definedName name="Vbuilding" localSheetId="0">'[2]InputOutput'!#REF!</definedName>
    <definedName name="Zcrack" localSheetId="3">'[2]InputOutput'!#REF!</definedName>
    <definedName name="Zcrack" localSheetId="4">'[2]InputOutput'!#REF!</definedName>
    <definedName name="Zcrack" localSheetId="2">'[2]InputOutput'!#REF!</definedName>
    <definedName name="Zcrack" localSheetId="5">'[1]InputOutput'!#REF!</definedName>
    <definedName name="Zcrack" localSheetId="1">'[2]InputOutput'!#REF!</definedName>
    <definedName name="Zcrack" localSheetId="0">'[2]InputOutput'!#REF!</definedName>
  </definedNames>
  <calcPr fullCalcOnLoad="1"/>
</workbook>
</file>

<file path=xl/comments7.xml><?xml version="1.0" encoding="utf-8"?>
<comments xmlns="http://schemas.openxmlformats.org/spreadsheetml/2006/main">
  <authors>
    <author>State of Washington</author>
  </authors>
  <commentList>
    <comment ref="S94" authorId="0">
      <text>
        <r>
          <rPr>
            <b/>
            <sz val="8"/>
            <rFont val="Tahoma"/>
            <family val="2"/>
          </rPr>
          <t xml:space="preserve"> Note</t>
        </r>
        <r>
          <rPr>
            <sz val="8"/>
            <rFont val="Tahoma"/>
            <family val="2"/>
          </rPr>
          <t xml:space="preserve">: 
The VAF is site-specific. A </t>
        </r>
        <r>
          <rPr>
            <u val="single"/>
            <sz val="8"/>
            <rFont val="Tahoma"/>
            <family val="2"/>
          </rPr>
          <t>default value has not been established</t>
        </r>
        <r>
          <rPr>
            <sz val="8"/>
            <rFont val="Tahoma"/>
            <family val="2"/>
          </rPr>
          <t>.</t>
        </r>
      </text>
    </comment>
  </commentList>
</comments>
</file>

<file path=xl/sharedStrings.xml><?xml version="1.0" encoding="utf-8"?>
<sst xmlns="http://schemas.openxmlformats.org/spreadsheetml/2006/main" count="329" uniqueCount="224">
  <si>
    <t>DF</t>
  </si>
  <si>
    <t>kg/l</t>
  </si>
  <si>
    <t>n</t>
  </si>
  <si>
    <t>ug/l</t>
  </si>
  <si>
    <t>S</t>
  </si>
  <si>
    <t>mg/kg</t>
  </si>
  <si>
    <t>kg</t>
  </si>
  <si>
    <t>ABW</t>
  </si>
  <si>
    <t>Average Body Weight during period of exposure: default is 16</t>
  </si>
  <si>
    <t>Drinking water ingestion rate: default is 1</t>
  </si>
  <si>
    <t>Inhalation correction factor: 2 for volatiles, 1 for all others</t>
  </si>
  <si>
    <t>Drinking water fraction: default is 1</t>
  </si>
  <si>
    <t>UCF</t>
  </si>
  <si>
    <t>HQ</t>
  </si>
  <si>
    <t>DWIR</t>
  </si>
  <si>
    <t>INH</t>
  </si>
  <si>
    <t>DWF</t>
  </si>
  <si>
    <t>unitless</t>
  </si>
  <si>
    <t>l/day</t>
  </si>
  <si>
    <t>mg/kg-day</t>
  </si>
  <si>
    <t>kg-day/mg</t>
  </si>
  <si>
    <t>Average Body Weight during period of exposure: default is 70</t>
  </si>
  <si>
    <t>ug/mg</t>
  </si>
  <si>
    <t>LIFE</t>
  </si>
  <si>
    <t>years</t>
  </si>
  <si>
    <t>Drinking water ingestion rate: default is 2</t>
  </si>
  <si>
    <t>RISK</t>
  </si>
  <si>
    <t>Average body weight over the period of exposure, default is 16</t>
  </si>
  <si>
    <t>UCF2</t>
  </si>
  <si>
    <t>Unit Conversion Factor for Soil</t>
  </si>
  <si>
    <t>SIR</t>
  </si>
  <si>
    <t>Soil Ingestion Rate: default is 200</t>
  </si>
  <si>
    <t>mg/day</t>
  </si>
  <si>
    <t>AB1</t>
  </si>
  <si>
    <t>Frequency of Exposure: default is "1"</t>
  </si>
  <si>
    <t>FOE</t>
  </si>
  <si>
    <t>Unit Conversion Factor for Groundwater</t>
  </si>
  <si>
    <t>UCF1</t>
  </si>
  <si>
    <t>Unit Conversion factor for soil</t>
  </si>
  <si>
    <t>Soil Ingestion rate: default is 200</t>
  </si>
  <si>
    <t>DUR</t>
  </si>
  <si>
    <t>Unit Conversion factor for groundwater:</t>
  </si>
  <si>
    <t>Duration of Exposure for Groundwater, default is 30</t>
  </si>
  <si>
    <t>Date:</t>
  </si>
  <si>
    <t>Site Name:</t>
  </si>
  <si>
    <t>Evaluator:</t>
  </si>
  <si>
    <t>Symbol</t>
  </si>
  <si>
    <t>Value</t>
  </si>
  <si>
    <t>l/kg</t>
  </si>
  <si>
    <t>mg/l</t>
  </si>
  <si>
    <t>Soil:</t>
  </si>
  <si>
    <t>G/W:</t>
  </si>
  <si>
    <t>Item</t>
  </si>
  <si>
    <t>Acceptable Hazard Quotient for G/W: Default is "one"</t>
  </si>
  <si>
    <t>AT</t>
  </si>
  <si>
    <t>Surface Area: default is "2,200"</t>
  </si>
  <si>
    <t>SA</t>
  </si>
  <si>
    <t>Adherence Factor: default is "0.2"</t>
  </si>
  <si>
    <t>AF</t>
  </si>
  <si>
    <t>ABS</t>
  </si>
  <si>
    <t>GI</t>
  </si>
  <si>
    <t>Exposure Frequency: default is 1.0</t>
  </si>
  <si>
    <t>EF</t>
  </si>
  <si>
    <t>Exposure Duration: default is 6</t>
  </si>
  <si>
    <t>ED</t>
  </si>
  <si>
    <r>
      <t>Acceptable RISK for G/W: Default is "10</t>
    </r>
    <r>
      <rPr>
        <vertAlign val="superscript"/>
        <sz val="10"/>
        <rFont val="Times New Roman"/>
        <family val="1"/>
      </rPr>
      <t>-6</t>
    </r>
    <r>
      <rPr>
        <sz val="10"/>
        <rFont val="Times New Roman"/>
        <family val="1"/>
      </rPr>
      <t>"</t>
    </r>
  </si>
  <si>
    <t>BR</t>
  </si>
  <si>
    <t>Breathing Rate: default is 20</t>
  </si>
  <si>
    <t>Dermal absorption fraction: chemical specific 0.01; 0.0005; 0.03; 0.1</t>
  </si>
  <si>
    <t>Gastrointestinal absorption Conversion factor: chemical specific 0.2; 0.5; 0.8</t>
  </si>
  <si>
    <t>Lifetime: default is 75</t>
  </si>
  <si>
    <t>Gastrointestinal absorption fraction: default is "1"</t>
  </si>
  <si>
    <t>Duration of Exposure for Soil: default is 6</t>
  </si>
  <si>
    <t>Dermal cancer potency factor</t>
  </si>
  <si>
    <t>Hun Seak Park</t>
  </si>
  <si>
    <t>Air:</t>
  </si>
  <si>
    <t>Unit Conversion Factor for air</t>
  </si>
  <si>
    <t>Breathing Rate; default is 10</t>
  </si>
  <si>
    <t>Average Body Weight: default is 70</t>
  </si>
  <si>
    <t>Duration of  inhalation Exposure: default is 30</t>
  </si>
  <si>
    <t>Unit conversion factor</t>
  </si>
  <si>
    <t xml:space="preserve">Target Soil </t>
  </si>
  <si>
    <r>
      <t>cm</t>
    </r>
    <r>
      <rPr>
        <vertAlign val="superscript"/>
        <sz val="10"/>
        <rFont val="Times New Roman"/>
        <family val="1"/>
      </rPr>
      <t>2</t>
    </r>
  </si>
  <si>
    <r>
      <t>mg/cm</t>
    </r>
    <r>
      <rPr>
        <vertAlign val="superscript"/>
        <sz val="10"/>
        <rFont val="Times New Roman"/>
        <family val="1"/>
      </rPr>
      <t>2</t>
    </r>
    <r>
      <rPr>
        <sz val="10"/>
        <rFont val="Times New Roman"/>
        <family val="1"/>
      </rPr>
      <t>-day</t>
    </r>
  </si>
  <si>
    <r>
      <t>m</t>
    </r>
    <r>
      <rPr>
        <vertAlign val="superscript"/>
        <sz val="10"/>
        <rFont val="Times New Roman"/>
        <family val="1"/>
      </rPr>
      <t>3</t>
    </r>
    <r>
      <rPr>
        <sz val="10"/>
        <rFont val="Times New Roman"/>
        <family val="1"/>
      </rPr>
      <t>/day</t>
    </r>
  </si>
  <si>
    <t>If the chemical has both oral CPF and RfD values,  enter "1"; has only RfD, enter "0"; otherwise enter "2"</t>
  </si>
  <si>
    <t>If the chemical has both inhalation CPF and RfD values,  enter "1"; has only RfD, enter "0"; otherwise enter "2"</t>
  </si>
  <si>
    <t>Rooster's Farms in Benton County</t>
  </si>
  <si>
    <t>Exposure Factor</t>
  </si>
  <si>
    <t>6. Site-Specific Hydrogeological Characteristics</t>
  </si>
  <si>
    <t xml:space="preserve">        Summary by Exposure Pathway</t>
  </si>
  <si>
    <t>For Standard Soil Direct Contact, enter "1";  For Modified Soil Direct Contact, enter "0"</t>
  </si>
  <si>
    <t>CUL Based on Carcinogenecity @ Risk of 1.0E-6</t>
  </si>
  <si>
    <t>industrial land use</t>
  </si>
  <si>
    <t>modified?</t>
  </si>
  <si>
    <t>Name of Chemical:</t>
  </si>
  <si>
    <t>Soil Direct Contact</t>
  </si>
  <si>
    <t>Practical Quantitation Limit for Soil:</t>
  </si>
  <si>
    <t>Refer to WAC 173-340-720, 740, 745, 747 and 750 for details.</t>
  </si>
  <si>
    <r>
      <t>C</t>
    </r>
    <r>
      <rPr>
        <b/>
        <i/>
        <vertAlign val="subscript"/>
        <sz val="12"/>
        <rFont val="Times New Roman"/>
        <family val="1"/>
      </rPr>
      <t>s</t>
    </r>
  </si>
  <si>
    <r>
      <t>RfD</t>
    </r>
    <r>
      <rPr>
        <b/>
        <i/>
        <vertAlign val="subscript"/>
        <sz val="12"/>
        <rFont val="Times New Roman"/>
        <family val="1"/>
      </rPr>
      <t>o</t>
    </r>
  </si>
  <si>
    <r>
      <t>RfD</t>
    </r>
    <r>
      <rPr>
        <b/>
        <i/>
        <vertAlign val="subscript"/>
        <sz val="12"/>
        <rFont val="Times New Roman"/>
        <family val="1"/>
      </rPr>
      <t>i</t>
    </r>
  </si>
  <si>
    <r>
      <t>CPF</t>
    </r>
    <r>
      <rPr>
        <b/>
        <i/>
        <vertAlign val="subscript"/>
        <sz val="12"/>
        <rFont val="Times New Roman"/>
        <family val="1"/>
      </rPr>
      <t>o</t>
    </r>
  </si>
  <si>
    <r>
      <t>CPF</t>
    </r>
    <r>
      <rPr>
        <b/>
        <i/>
        <vertAlign val="subscript"/>
        <sz val="12"/>
        <rFont val="Times New Roman"/>
        <family val="1"/>
      </rPr>
      <t>i</t>
    </r>
  </si>
  <si>
    <r>
      <t>ABS</t>
    </r>
    <r>
      <rPr>
        <b/>
        <i/>
        <vertAlign val="subscript"/>
        <sz val="12"/>
        <rFont val="Times New Roman"/>
        <family val="1"/>
      </rPr>
      <t>i</t>
    </r>
  </si>
  <si>
    <r>
      <t>ABS</t>
    </r>
    <r>
      <rPr>
        <b/>
        <i/>
        <vertAlign val="subscript"/>
        <sz val="12"/>
        <rFont val="Times New Roman"/>
        <family val="1"/>
      </rPr>
      <t>d</t>
    </r>
  </si>
  <si>
    <r>
      <t>RfD</t>
    </r>
    <r>
      <rPr>
        <b/>
        <i/>
        <vertAlign val="subscript"/>
        <sz val="12"/>
        <rFont val="Times New Roman"/>
        <family val="1"/>
      </rPr>
      <t>d</t>
    </r>
  </si>
  <si>
    <r>
      <t>CPF</t>
    </r>
    <r>
      <rPr>
        <b/>
        <i/>
        <vertAlign val="subscript"/>
        <sz val="12"/>
        <rFont val="Times New Roman"/>
        <family val="1"/>
      </rPr>
      <t>d</t>
    </r>
  </si>
  <si>
    <r>
      <t>K</t>
    </r>
    <r>
      <rPr>
        <b/>
        <i/>
        <vertAlign val="subscript"/>
        <sz val="12"/>
        <rFont val="Times New Roman"/>
        <family val="1"/>
      </rPr>
      <t>oc</t>
    </r>
  </si>
  <si>
    <r>
      <t>H</t>
    </r>
    <r>
      <rPr>
        <b/>
        <i/>
        <vertAlign val="subscript"/>
        <sz val="12"/>
        <rFont val="Times New Roman"/>
        <family val="1"/>
      </rPr>
      <t>cc</t>
    </r>
  </si>
  <si>
    <r>
      <t>f</t>
    </r>
    <r>
      <rPr>
        <b/>
        <i/>
        <vertAlign val="subscript"/>
        <sz val="12"/>
        <rFont val="Times New Roman"/>
        <family val="1"/>
      </rPr>
      <t>oc</t>
    </r>
  </si>
  <si>
    <r>
      <t>C</t>
    </r>
    <r>
      <rPr>
        <b/>
        <i/>
        <vertAlign val="subscript"/>
        <sz val="12"/>
        <rFont val="Times New Roman"/>
        <family val="1"/>
      </rPr>
      <t>w</t>
    </r>
  </si>
  <si>
    <r>
      <t>Q</t>
    </r>
    <r>
      <rPr>
        <i/>
        <vertAlign val="subscript"/>
        <sz val="12"/>
        <rFont val="Times New Roman"/>
        <family val="1"/>
      </rPr>
      <t>w</t>
    </r>
  </si>
  <si>
    <r>
      <t>Q</t>
    </r>
    <r>
      <rPr>
        <i/>
        <vertAlign val="subscript"/>
        <sz val="12"/>
        <rFont val="Symbol"/>
        <family val="1"/>
      </rPr>
      <t>a</t>
    </r>
  </si>
  <si>
    <r>
      <t>r</t>
    </r>
    <r>
      <rPr>
        <i/>
        <vertAlign val="subscript"/>
        <sz val="12"/>
        <rFont val="Times New Roman"/>
        <family val="1"/>
      </rPr>
      <t>b</t>
    </r>
  </si>
  <si>
    <r>
      <t>PQL</t>
    </r>
    <r>
      <rPr>
        <b/>
        <i/>
        <vertAlign val="subscript"/>
        <sz val="12"/>
        <rFont val="Times New Roman"/>
        <family val="1"/>
      </rPr>
      <t>s</t>
    </r>
  </si>
  <si>
    <t>DDT</t>
  </si>
  <si>
    <t>7. Vapor Attenuation Factor due to Advection (building structure) &amp; Diffusion (soil layer) Mechanisms</t>
  </si>
  <si>
    <t>Target Air</t>
  </si>
  <si>
    <r>
      <t>NB</t>
    </r>
    <r>
      <rPr>
        <b/>
        <i/>
        <vertAlign val="subscript"/>
        <sz val="12"/>
        <rFont val="Times New Roman"/>
        <family val="1"/>
      </rPr>
      <t>s</t>
    </r>
  </si>
  <si>
    <r>
      <t xml:space="preserve">Protection of Air Quality       </t>
    </r>
    <r>
      <rPr>
        <b/>
        <i/>
        <sz val="12"/>
        <color indexed="10"/>
        <rFont val="Times New Roman"/>
        <family val="1"/>
      </rPr>
      <t>(for informational purpose only)</t>
    </r>
  </si>
  <si>
    <t>Concentration based on carcinogenic risk @ Risk = 1 in 1,000,000 (1.0E-6)</t>
  </si>
  <si>
    <t>Concentration based on carcinogenic risk @ Risk = 1 in 100,000 (1.0E-5)</t>
  </si>
  <si>
    <t>Concentration based on non-carcinogenic risk  @ HQ=1.0</t>
  </si>
  <si>
    <t>Most stringent concentration based on Applicable State or Federal Laws</t>
  </si>
  <si>
    <t>Concentration, ug/l</t>
  </si>
  <si>
    <t>Washington State Department of Ecology</t>
  </si>
  <si>
    <t>Toxics Cleanup Program</t>
  </si>
  <si>
    <t>Workbook for Calculating Cleanup Levels for Individual Hazardous Substances</t>
  </si>
  <si>
    <t>Worksheet for Calculating Soil Cleanup Levels for Unrestricted &amp; Industrial Land Use</t>
  </si>
  <si>
    <t>A. INPUT PARAMETERS FOR SOIL CLEANUP LEVEL CALCULATIONS</t>
  </si>
  <si>
    <t>1. General information</t>
  </si>
  <si>
    <t>4. Physical and Chemical Properties of the Chemical: Chemical-Specific</t>
  </si>
  <si>
    <r>
      <t xml:space="preserve">  *or, Calculated dry soil bulk density @solid density of 2.65kg/l: </t>
    </r>
    <r>
      <rPr>
        <i/>
        <sz val="10"/>
        <color indexed="10"/>
        <rFont val="Times New Roman"/>
        <family val="1"/>
      </rPr>
      <t>(Enter the result into "</t>
    </r>
    <r>
      <rPr>
        <b/>
        <i/>
        <sz val="10"/>
        <color indexed="10"/>
        <rFont val="Symbol"/>
        <family val="1"/>
      </rPr>
      <t>r</t>
    </r>
    <r>
      <rPr>
        <b/>
        <i/>
        <vertAlign val="subscript"/>
        <sz val="10"/>
        <color indexed="10"/>
        <rFont val="Times New Roman"/>
        <family val="1"/>
      </rPr>
      <t>b</t>
    </r>
    <r>
      <rPr>
        <i/>
        <sz val="10"/>
        <color indexed="10"/>
        <rFont val="Times New Roman"/>
        <family val="1"/>
      </rPr>
      <t xml:space="preserve"> input box" above for a calculation)</t>
    </r>
  </si>
  <si>
    <t>Dilution Factor (default = "20" for unsaturated zone soil; "1" for saturated zone soil; or site-specific)</t>
  </si>
  <si>
    <t>Chemical of Concern:</t>
  </si>
  <si>
    <t>1. Summary of Results</t>
  </si>
  <si>
    <t>2. Summary of Calculation for each Exposure Pathway</t>
  </si>
  <si>
    <t>Ingestion only</t>
  </si>
  <si>
    <t>Ingestion &amp; Dermal</t>
  </si>
  <si>
    <t>Method B</t>
  </si>
  <si>
    <t>Method C</t>
  </si>
  <si>
    <t>Industrial Land Use</t>
  </si>
  <si>
    <t xml:space="preserve"> @ HQ=1.0</t>
  </si>
  <si>
    <t xml:space="preserve"> @ RISK=1.0E-6 or 1.0E-5</t>
  </si>
  <si>
    <t>Protection of Potable Ground Water</t>
  </si>
  <si>
    <t>Conc</t>
  </si>
  <si>
    <t>Enter Most stringent concentration based on Applicable State or Federal Laws</t>
  </si>
  <si>
    <r>
      <t>Note</t>
    </r>
    <r>
      <rPr>
        <sz val="12"/>
        <rFont val="Times New Roman"/>
        <family val="1"/>
      </rPr>
      <t>: If no data is available for any of the following inputs, then leave the input box blank</t>
    </r>
  </si>
  <si>
    <t>Solubility of the Chemical in Water: for the calculation of soil saturation limit</t>
  </si>
  <si>
    <t>Total Soil Porosity (default = "0.43"):</t>
  </si>
  <si>
    <t>Volumetric Water Content (default = "0.30"):</t>
  </si>
  <si>
    <t>Volumetric Air Content (default = "0.13"):</t>
  </si>
  <si>
    <t>Dry Soil Bulk Density (default = "1.50"):</t>
  </si>
  <si>
    <t>B.  SUMMARY OF SOIL CLEANUP LEVEL CALCULATIONS</t>
  </si>
  <si>
    <t>Basis for Soil Concentration</t>
  </si>
  <si>
    <t xml:space="preserve"> @ HQ=1.0; RISK =1.0E-6      </t>
  </si>
  <si>
    <t xml:space="preserve"> @ HQ=1.0; RISK =1.0E-5      </t>
  </si>
  <si>
    <t xml:space="preserve"> @ HQ=1.0; RISK =1.0E-5    </t>
  </si>
  <si>
    <t>Averaging Time: default is "6"</t>
  </si>
  <si>
    <t>Dermal Reference Dose</t>
  </si>
  <si>
    <t>Inhalation Absorption Fraction: default is 1.0</t>
  </si>
  <si>
    <t>Unrestricted Land Use</t>
  </si>
  <si>
    <t>Target Ground Water Cleanup Level applicable for a soil cleanup level calculation:</t>
  </si>
  <si>
    <t>Soil Cleanup Level (not considering vapor pathway):</t>
  </si>
  <si>
    <t>Enter Vapor Attenuation Factor: for the evaluation of vapor exposure pathway</t>
  </si>
  <si>
    <t>2. Toxicological Properties of the Chemical: Chemical-Specific</t>
  </si>
  <si>
    <t>3. Exposure Parameters</t>
  </si>
  <si>
    <t>Soil concentration based on Vapor Pathway (informational purposes only):</t>
  </si>
  <si>
    <t>Most stringent soil concentration based on Soil Direct Contact &amp; Ground Water Protection:</t>
  </si>
  <si>
    <t>Natural Background concentration for Soil:</t>
  </si>
  <si>
    <t>HQ? @ Exposure Point</t>
  </si>
  <si>
    <t>RISK? @ Exposure Point</t>
  </si>
  <si>
    <t xml:space="preserve"> @HQ=1.0</t>
  </si>
  <si>
    <t xml:space="preserve"> @RISK =1.0E-6 or 1.0E-5</t>
  </si>
  <si>
    <r>
      <t>CUL?   ug/m</t>
    </r>
    <r>
      <rPr>
        <vertAlign val="superscript"/>
        <sz val="10"/>
        <rFont val="Times New Roman"/>
        <family val="1"/>
      </rPr>
      <t>3</t>
    </r>
  </si>
  <si>
    <t>CUL?   mg/kg</t>
  </si>
  <si>
    <t>Predicted Ground Water Conc?   ug/l</t>
  </si>
  <si>
    <t>CUL?    mg/kg</t>
  </si>
  <si>
    <t>Target Ground Water CUL?    ug/l</t>
  </si>
  <si>
    <t>Target Soil CUL?    mg/kg</t>
  </si>
  <si>
    <t>Units</t>
  </si>
  <si>
    <t>VAF</t>
  </si>
  <si>
    <t>Under the Current Condition</t>
  </si>
  <si>
    <r>
      <t>r</t>
    </r>
    <r>
      <rPr>
        <b/>
        <i/>
        <vertAlign val="subscript"/>
        <sz val="12"/>
        <rFont val="Times New Roman"/>
        <family val="1"/>
      </rPr>
      <t>b</t>
    </r>
  </si>
  <si>
    <r>
      <t xml:space="preserve">Soil Saturation Limit, </t>
    </r>
    <r>
      <rPr>
        <b/>
        <i/>
        <sz val="11"/>
        <rFont val="Times New Roman"/>
        <family val="1"/>
      </rPr>
      <t>C</t>
    </r>
    <r>
      <rPr>
        <b/>
        <i/>
        <vertAlign val="subscript"/>
        <sz val="11"/>
        <rFont val="Times New Roman"/>
        <family val="1"/>
      </rPr>
      <t>sat</t>
    </r>
    <r>
      <rPr>
        <sz val="11"/>
        <rFont val="Times New Roman"/>
        <family val="1"/>
      </rPr>
      <t>:</t>
    </r>
  </si>
  <si>
    <r>
      <t xml:space="preserve">Retardation Factor, </t>
    </r>
    <r>
      <rPr>
        <b/>
        <i/>
        <sz val="11"/>
        <rFont val="Times New Roman"/>
        <family val="1"/>
      </rPr>
      <t>R</t>
    </r>
    <r>
      <rPr>
        <sz val="11"/>
        <rFont val="Times New Roman"/>
        <family val="1"/>
      </rPr>
      <t>:</t>
    </r>
  </si>
  <si>
    <r>
      <t xml:space="preserve">Soil Organic Carbon-Water Partitioning Coefficient: for metals, enter </t>
    </r>
    <r>
      <rPr>
        <b/>
        <i/>
        <sz val="11"/>
        <rFont val="Times New Roman"/>
        <family val="1"/>
      </rPr>
      <t>K</t>
    </r>
    <r>
      <rPr>
        <b/>
        <i/>
        <vertAlign val="subscript"/>
        <sz val="11"/>
        <rFont val="Times New Roman"/>
        <family val="1"/>
      </rPr>
      <t>d</t>
    </r>
    <r>
      <rPr>
        <sz val="11"/>
        <rFont val="Times New Roman"/>
        <family val="1"/>
      </rPr>
      <t xml:space="preserve"> value here and enter "1" for </t>
    </r>
    <r>
      <rPr>
        <b/>
        <i/>
        <sz val="11"/>
        <rFont val="Times New Roman"/>
        <family val="1"/>
      </rPr>
      <t>f</t>
    </r>
    <r>
      <rPr>
        <b/>
        <i/>
        <vertAlign val="subscript"/>
        <sz val="11"/>
        <rFont val="Times New Roman"/>
        <family val="1"/>
      </rPr>
      <t>oc</t>
    </r>
    <r>
      <rPr>
        <sz val="11"/>
        <rFont val="Times New Roman"/>
        <family val="1"/>
      </rPr>
      <t xml:space="preserve"> value</t>
    </r>
  </si>
  <si>
    <r>
      <t xml:space="preserve">Fraction Soil Organic Carbon (default = "0.001"): for metals, enter "1" for  </t>
    </r>
    <r>
      <rPr>
        <b/>
        <i/>
        <sz val="11"/>
        <rFont val="Times New Roman"/>
        <family val="1"/>
      </rPr>
      <t>f</t>
    </r>
    <r>
      <rPr>
        <b/>
        <i/>
        <vertAlign val="subscript"/>
        <sz val="11"/>
        <rFont val="Times New Roman"/>
        <family val="1"/>
      </rPr>
      <t>oc</t>
    </r>
    <r>
      <rPr>
        <sz val="11"/>
        <rFont val="Times New Roman"/>
        <family val="1"/>
      </rPr>
      <t xml:space="preserve"> value here</t>
    </r>
  </si>
  <si>
    <r>
      <t>Predicted Air Conc?  ug/m</t>
    </r>
    <r>
      <rPr>
        <vertAlign val="superscript"/>
        <sz val="10"/>
        <rFont val="Times New Roman"/>
        <family val="1"/>
      </rPr>
      <t>3</t>
    </r>
    <r>
      <rPr>
        <sz val="10"/>
        <rFont val="Times New Roman"/>
        <family val="1"/>
      </rPr>
      <t xml:space="preserve"> @Exposure Point</t>
    </r>
  </si>
  <si>
    <t>NOTES: "CUL" = Cleanup Level; "Conc" = concentration; "HQ" = hazard quotient; "RISK" = carcinogenic risk.</t>
  </si>
  <si>
    <t>1.1 Name of Chemical:</t>
  </si>
  <si>
    <t>1.2 Measured Soil Concentration, if any:</t>
  </si>
  <si>
    <t>1.3 Natural Background Concentration for Soil, if any:</t>
  </si>
  <si>
    <t>1.4 Practical Quantitation Limit for Soil, if any:</t>
  </si>
  <si>
    <r>
      <t>2.1 Oral Reference Dose</t>
    </r>
    <r>
      <rPr>
        <vertAlign val="superscript"/>
        <sz val="11"/>
        <rFont val="Times New Roman"/>
        <family val="1"/>
      </rPr>
      <t>1, 3</t>
    </r>
  </si>
  <si>
    <r>
      <t>2.2 Oral Carcinogenic Potency Factor</t>
    </r>
    <r>
      <rPr>
        <vertAlign val="superscript"/>
        <sz val="11"/>
        <rFont val="Times New Roman"/>
        <family val="1"/>
      </rPr>
      <t>1, 3</t>
    </r>
  </si>
  <si>
    <r>
      <t>2.3 Inhalation Reference Dose</t>
    </r>
    <r>
      <rPr>
        <vertAlign val="superscript"/>
        <sz val="11"/>
        <rFont val="Times New Roman"/>
        <family val="1"/>
      </rPr>
      <t>5</t>
    </r>
  </si>
  <si>
    <r>
      <t>2.4 Inhalation Carcinogenic Potency Factor</t>
    </r>
    <r>
      <rPr>
        <vertAlign val="superscript"/>
        <sz val="11"/>
        <rFont val="Times New Roman"/>
        <family val="1"/>
      </rPr>
      <t>5</t>
    </r>
  </si>
  <si>
    <r>
      <t>3.1 Inhalation Correction Factor (default = "2" for volatiles; "1" for all others)</t>
    </r>
    <r>
      <rPr>
        <vertAlign val="superscript"/>
        <sz val="11"/>
        <rFont val="Times New Roman"/>
        <family val="1"/>
      </rPr>
      <t>4</t>
    </r>
  </si>
  <si>
    <r>
      <t>3.3 Gastrointestinal Absorption Fraction (default = "1")</t>
    </r>
    <r>
      <rPr>
        <vertAlign val="superscript"/>
        <sz val="11"/>
        <rFont val="Times New Roman"/>
        <family val="1"/>
      </rPr>
      <t>1, 2</t>
    </r>
  </si>
  <si>
    <r>
      <t>3.2 Inhalation Absorption Fraction (default = "1")</t>
    </r>
    <r>
      <rPr>
        <vertAlign val="superscript"/>
        <sz val="11"/>
        <rFont val="Times New Roman"/>
        <family val="1"/>
      </rPr>
      <t>5</t>
    </r>
  </si>
  <si>
    <r>
      <t>3.6 Gastrointestinal Absorption Conversion Factor (chemical-specific or defaults)</t>
    </r>
    <r>
      <rPr>
        <vertAlign val="superscript"/>
        <sz val="11"/>
        <rFont val="Times New Roman"/>
        <family val="1"/>
      </rPr>
      <t>2</t>
    </r>
  </si>
  <si>
    <r>
      <t>3.5 Dermal Absorption Fraction (chemical-specific or defaults)</t>
    </r>
    <r>
      <rPr>
        <vertAlign val="superscript"/>
        <sz val="11"/>
        <rFont val="Times New Roman"/>
        <family val="1"/>
      </rPr>
      <t>2</t>
    </r>
  </si>
  <si>
    <r>
      <t>3.4 Adherence Factor (default = "0.2")</t>
    </r>
    <r>
      <rPr>
        <vertAlign val="superscript"/>
        <sz val="11"/>
        <rFont val="Times New Roman"/>
        <family val="1"/>
      </rPr>
      <t>2</t>
    </r>
  </si>
  <si>
    <r>
      <rPr>
        <b/>
        <sz val="12"/>
        <color indexed="10"/>
        <rFont val="Times New Roman"/>
        <family val="1"/>
      </rPr>
      <t>Footnotes indicating exposure pathway:</t>
    </r>
    <r>
      <rPr>
        <sz val="12"/>
        <color indexed="10"/>
        <rFont val="Times New Roman"/>
        <family val="1"/>
      </rPr>
      <t xml:space="preserve"> </t>
    </r>
    <r>
      <rPr>
        <vertAlign val="superscript"/>
        <sz val="12"/>
        <color indexed="10"/>
        <rFont val="Times New Roman"/>
        <family val="1"/>
      </rPr>
      <t>1</t>
    </r>
    <r>
      <rPr>
        <sz val="12"/>
        <color indexed="10"/>
        <rFont val="Times New Roman"/>
        <family val="1"/>
      </rPr>
      <t xml:space="preserve">Soil ingestion only; </t>
    </r>
    <r>
      <rPr>
        <vertAlign val="superscript"/>
        <sz val="12"/>
        <color indexed="10"/>
        <rFont val="Times New Roman"/>
        <family val="1"/>
      </rPr>
      <t>2</t>
    </r>
    <r>
      <rPr>
        <sz val="12"/>
        <color indexed="10"/>
        <rFont val="Times New Roman"/>
        <family val="1"/>
      </rPr>
      <t xml:space="preserve">Soil dermal contact; </t>
    </r>
    <r>
      <rPr>
        <vertAlign val="superscript"/>
        <sz val="12"/>
        <color indexed="10"/>
        <rFont val="Times New Roman"/>
        <family val="1"/>
      </rPr>
      <t>3</t>
    </r>
    <r>
      <rPr>
        <sz val="12"/>
        <color indexed="10"/>
        <rFont val="Times New Roman"/>
        <family val="1"/>
      </rPr>
      <t xml:space="preserve">Soil to Ground Water; </t>
    </r>
    <r>
      <rPr>
        <vertAlign val="superscript"/>
        <sz val="12"/>
        <color indexed="10"/>
        <rFont val="Times New Roman"/>
        <family val="1"/>
      </rPr>
      <t>4</t>
    </r>
    <r>
      <rPr>
        <sz val="12"/>
        <color indexed="10"/>
        <rFont val="Times New Roman"/>
        <family val="1"/>
      </rPr>
      <t xml:space="preserve">Ground Water ingestion; </t>
    </r>
    <r>
      <rPr>
        <vertAlign val="superscript"/>
        <sz val="12"/>
        <color indexed="10"/>
        <rFont val="Times New Roman"/>
        <family val="1"/>
      </rPr>
      <t>5</t>
    </r>
    <r>
      <rPr>
        <sz val="12"/>
        <color indexed="10"/>
        <rFont val="Times New Roman"/>
        <family val="1"/>
      </rPr>
      <t>Vapor exposure pathway</t>
    </r>
  </si>
  <si>
    <t>Henry's Law Constant: for the evaluation of ground water and vapor exposure pathway*</t>
  </si>
  <si>
    <t>5. Target Groundwater Cleanup Level</t>
  </si>
  <si>
    <r>
      <t xml:space="preserve">1.  Calculation of Method </t>
    </r>
    <r>
      <rPr>
        <b/>
        <sz val="14"/>
        <color indexed="10"/>
        <rFont val="Times New Roman"/>
        <family val="1"/>
      </rPr>
      <t xml:space="preserve">B </t>
    </r>
    <r>
      <rPr>
        <b/>
        <sz val="14"/>
        <rFont val="Times New Roman"/>
        <family val="1"/>
      </rPr>
      <t xml:space="preserve">Cleanup Levels for Potable Groundwater </t>
    </r>
  </si>
  <si>
    <t>Worksheet for Calculating Cleanup Levels for Potable Groundwater (Method B and C)</t>
  </si>
  <si>
    <r>
      <t xml:space="preserve">2.  Calculation of Method </t>
    </r>
    <r>
      <rPr>
        <b/>
        <sz val="14"/>
        <color indexed="10"/>
        <rFont val="Times New Roman"/>
        <family val="1"/>
      </rPr>
      <t>C</t>
    </r>
    <r>
      <rPr>
        <b/>
        <sz val="14"/>
        <rFont val="Times New Roman"/>
        <family val="1"/>
      </rPr>
      <t xml:space="preserve"> Cleanup Levels for Potable Groundwater </t>
    </r>
  </si>
  <si>
    <r>
      <t xml:space="preserve">Method </t>
    </r>
    <r>
      <rPr>
        <b/>
        <sz val="14"/>
        <color indexed="10"/>
        <rFont val="Times New Roman"/>
        <family val="1"/>
      </rPr>
      <t>C</t>
    </r>
    <r>
      <rPr>
        <sz val="14"/>
        <rFont val="Times New Roman"/>
        <family val="1"/>
      </rPr>
      <t xml:space="preserve"> Potable Groundwater Cleanup Level =</t>
    </r>
  </si>
  <si>
    <t>Basis for Groundwater Concentration</t>
  </si>
  <si>
    <t>Practical Quantitation Limit of Groundwater</t>
  </si>
  <si>
    <t>Natural Background Level of Groundwater</t>
  </si>
  <si>
    <t>Enter Practical Quantitation Limit of Groundwater</t>
  </si>
  <si>
    <t>Enter Natural Background Level of Groundwater</t>
  </si>
  <si>
    <t>Please Refer to WAC 173-340-720(7) - Adjustments to Groundwater cleanup levels</t>
  </si>
  <si>
    <r>
      <t>Method</t>
    </r>
    <r>
      <rPr>
        <sz val="14"/>
        <color indexed="10"/>
        <rFont val="Times New Roman"/>
        <family val="1"/>
      </rPr>
      <t xml:space="preserve"> </t>
    </r>
    <r>
      <rPr>
        <b/>
        <sz val="14"/>
        <color indexed="10"/>
        <rFont val="Times New Roman"/>
        <family val="1"/>
      </rPr>
      <t>B</t>
    </r>
    <r>
      <rPr>
        <sz val="14"/>
        <rFont val="Times New Roman"/>
        <family val="1"/>
      </rPr>
      <t xml:space="preserve"> Potable Groundwater Cleanup Level =</t>
    </r>
  </si>
  <si>
    <t xml:space="preserve"> *Enter the dimensionless Henry's law constant at 13 deg Celsius if available in CLARC. Otherwise enter the value at 25 deg Celsius if availabe in CLARC. Leave blank or enter zero if a Henry's law is unavailable.</t>
  </si>
  <si>
    <t>* Vapor Attenuation Factor is the ratio of air concentration at the exposure point (e.g., within the building) to the vapor-phase contaminant concentration within the soil at the source.</t>
  </si>
  <si>
    <t xml:space="preserve"> </t>
  </si>
  <si>
    <r>
      <rPr>
        <b/>
        <sz val="12"/>
        <rFont val="Times New Roman"/>
        <family val="1"/>
      </rPr>
      <t>Footnotes</t>
    </r>
    <r>
      <rPr>
        <sz val="12"/>
        <rFont val="Times New Roman"/>
        <family val="1"/>
      </rPr>
      <t xml:space="preserve">: </t>
    </r>
    <r>
      <rPr>
        <vertAlign val="superscript"/>
        <sz val="12"/>
        <rFont val="Times New Roman"/>
        <family val="1"/>
      </rPr>
      <t>1</t>
    </r>
    <r>
      <rPr>
        <sz val="12"/>
        <rFont val="Times New Roman"/>
        <family val="1"/>
      </rPr>
      <t xml:space="preserve">Soil ingestion only; </t>
    </r>
    <r>
      <rPr>
        <vertAlign val="superscript"/>
        <sz val="12"/>
        <rFont val="Times New Roman"/>
        <family val="1"/>
      </rPr>
      <t>2</t>
    </r>
    <r>
      <rPr>
        <sz val="12"/>
        <rFont val="Times New Roman"/>
        <family val="1"/>
      </rPr>
      <t xml:space="preserve">Soil dermal contact; </t>
    </r>
    <r>
      <rPr>
        <vertAlign val="superscript"/>
        <sz val="12"/>
        <rFont val="Times New Roman"/>
        <family val="1"/>
      </rPr>
      <t>3</t>
    </r>
    <r>
      <rPr>
        <sz val="12"/>
        <rFont val="Times New Roman"/>
        <family val="1"/>
      </rPr>
      <t xml:space="preserve">Soil to Groundwater; </t>
    </r>
    <r>
      <rPr>
        <vertAlign val="superscript"/>
        <sz val="12"/>
        <rFont val="Times New Roman"/>
        <family val="1"/>
      </rPr>
      <t>4</t>
    </r>
    <r>
      <rPr>
        <sz val="12"/>
        <rFont val="Times New Roman"/>
        <family val="1"/>
      </rPr>
      <t xml:space="preserve">Groundwater ingestion; </t>
    </r>
    <r>
      <rPr>
        <vertAlign val="superscript"/>
        <sz val="12"/>
        <rFont val="Times New Roman"/>
        <family val="1"/>
      </rPr>
      <t>5</t>
    </r>
    <r>
      <rPr>
        <sz val="12"/>
        <rFont val="Times New Roman"/>
        <family val="1"/>
      </rPr>
      <t>Vapor exposure pathway</t>
    </r>
  </si>
  <si>
    <r>
      <rPr>
        <b/>
        <sz val="10"/>
        <color indexed="13"/>
        <rFont val="Arial"/>
        <family val="2"/>
      </rPr>
      <t>MTCASGL: Version 12.0. U</t>
    </r>
    <r>
      <rPr>
        <b/>
        <sz val="10"/>
        <color indexed="13"/>
        <rFont val="Arial"/>
        <family val="2"/>
      </rPr>
      <t>pdated November 2023</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</si>
</sst>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E+00"/>
    <numFmt numFmtId="167" formatCode="0.00E+00;\�"/>
    <numFmt numFmtId="168" formatCode="0.00000"/>
    <numFmt numFmtId="169" formatCode="0.000000"/>
    <numFmt numFmtId="170" formatCode="0.000"/>
    <numFmt numFmtId="171" formatCode="0.0000E+00"/>
    <numFmt numFmtId="172" formatCode="0.0000000"/>
    <numFmt numFmtId="173" formatCode="#,##0.0"/>
    <numFmt numFmtId="174" formatCode="[$-409]dddd\,\ mmmm\ d\,\ yyyy"/>
  </numFmts>
  <fonts count="125">
    <font>
      <sz val="10"/>
      <name val="Arial"/>
      <family val="0"/>
    </font>
    <font>
      <b/>
      <i/>
      <sz val="13"/>
      <name val="Times New Roman"/>
      <family val="1"/>
    </font>
    <font>
      <sz val="12"/>
      <name val="Times New Roman"/>
      <family val="1"/>
    </font>
    <font>
      <i/>
      <u val="single"/>
      <sz val="12"/>
      <name val="Times New Roman"/>
      <family val="1"/>
    </font>
    <font>
      <u val="single"/>
      <sz val="11"/>
      <name val="Times New Roman"/>
      <family val="1"/>
    </font>
    <font>
      <b/>
      <u val="single"/>
      <sz val="10"/>
      <name val="Times New Roman"/>
      <family val="1"/>
    </font>
    <font>
      <b/>
      <sz val="14"/>
      <name val="Times New Roman"/>
      <family val="1"/>
    </font>
    <font>
      <sz val="10"/>
      <name val="Times New Roman"/>
      <family val="1"/>
    </font>
    <font>
      <i/>
      <sz val="12"/>
      <name val="Times New Roman"/>
      <family val="1"/>
    </font>
    <font>
      <b/>
      <sz val="12"/>
      <name val="Times New Roman"/>
      <family val="1"/>
    </font>
    <font>
      <sz val="11"/>
      <name val="Times New Roman"/>
      <family val="1"/>
    </font>
    <font>
      <b/>
      <sz val="11"/>
      <name val="Times New Roman"/>
      <family val="1"/>
    </font>
    <font>
      <b/>
      <i/>
      <sz val="12"/>
      <name val="Times New Roman"/>
      <family val="1"/>
    </font>
    <font>
      <b/>
      <sz val="10"/>
      <name val="Times New Roman"/>
      <family val="1"/>
    </font>
    <font>
      <b/>
      <u val="single"/>
      <sz val="11"/>
      <name val="Times New Roman"/>
      <family val="1"/>
    </font>
    <font>
      <i/>
      <u val="single"/>
      <sz val="11"/>
      <name val="Times New Roman"/>
      <family val="1"/>
    </font>
    <font>
      <sz val="8"/>
      <name val="Arial"/>
      <family val="2"/>
    </font>
    <font>
      <vertAlign val="superscript"/>
      <sz val="10"/>
      <name val="Times New Roman"/>
      <family val="1"/>
    </font>
    <font>
      <i/>
      <sz val="10"/>
      <name val="Times New Roman"/>
      <family val="1"/>
    </font>
    <font>
      <sz val="9"/>
      <name val="Times New Roman"/>
      <family val="1"/>
    </font>
    <font>
      <b/>
      <sz val="10"/>
      <name val="Arial"/>
      <family val="2"/>
    </font>
    <font>
      <b/>
      <u val="single"/>
      <sz val="12"/>
      <name val="Times New Roman"/>
      <family val="1"/>
    </font>
    <font>
      <b/>
      <u val="single"/>
      <sz val="14"/>
      <name val="Times New Roman"/>
      <family val="1"/>
    </font>
    <font>
      <b/>
      <sz val="12"/>
      <color indexed="11"/>
      <name val="Times New Roman"/>
      <family val="1"/>
    </font>
    <font>
      <b/>
      <sz val="14"/>
      <color indexed="10"/>
      <name val="Times New Roman"/>
      <family val="1"/>
    </font>
    <font>
      <b/>
      <sz val="10"/>
      <color indexed="10"/>
      <name val="Palatino"/>
      <family val="1"/>
    </font>
    <font>
      <b/>
      <sz val="10"/>
      <color indexed="10"/>
      <name val="Times New Roman"/>
      <family val="1"/>
    </font>
    <font>
      <b/>
      <u val="single"/>
      <sz val="16"/>
      <color indexed="10"/>
      <name val="Palatino"/>
      <family val="1"/>
    </font>
    <font>
      <i/>
      <sz val="8"/>
      <color indexed="10"/>
      <name val="Arial"/>
      <family val="2"/>
    </font>
    <font>
      <sz val="10"/>
      <color indexed="10"/>
      <name val="Arial"/>
      <family val="2"/>
    </font>
    <font>
      <b/>
      <sz val="10"/>
      <color indexed="9"/>
      <name val="Arial"/>
      <family val="2"/>
    </font>
    <font>
      <b/>
      <sz val="12"/>
      <color indexed="20"/>
      <name val="Times New Roman"/>
      <family val="1"/>
    </font>
    <font>
      <b/>
      <i/>
      <sz val="14"/>
      <name val="Times New Roman"/>
      <family val="1"/>
    </font>
    <font>
      <i/>
      <sz val="10"/>
      <color indexed="10"/>
      <name val="Times New Roman"/>
      <family val="1"/>
    </font>
    <font>
      <b/>
      <sz val="18"/>
      <name val="Times New Roman"/>
      <family val="1"/>
    </font>
    <font>
      <b/>
      <i/>
      <sz val="12"/>
      <color indexed="10"/>
      <name val="Times New Roman"/>
      <family val="1"/>
    </font>
    <font>
      <sz val="8"/>
      <name val="Tahoma"/>
      <family val="2"/>
    </font>
    <font>
      <b/>
      <u val="single"/>
      <sz val="14"/>
      <color indexed="40"/>
      <name val="Palatino"/>
      <family val="1"/>
    </font>
    <font>
      <sz val="14"/>
      <color indexed="40"/>
      <name val="Arial"/>
      <family val="2"/>
    </font>
    <font>
      <b/>
      <i/>
      <sz val="10"/>
      <name val="Times New Roman"/>
      <family val="1"/>
    </font>
    <font>
      <u val="single"/>
      <sz val="10"/>
      <name val="Times New Roman"/>
      <family val="1"/>
    </font>
    <font>
      <i/>
      <sz val="11"/>
      <name val="Times New Roman"/>
      <family val="1"/>
    </font>
    <font>
      <b/>
      <i/>
      <sz val="10"/>
      <color indexed="14"/>
      <name val="Times New Roman"/>
      <family val="1"/>
    </font>
    <font>
      <b/>
      <i/>
      <vertAlign val="subscript"/>
      <sz val="12"/>
      <name val="Times New Roman"/>
      <family val="1"/>
    </font>
    <font>
      <sz val="10"/>
      <name val="Helv"/>
      <family val="0"/>
    </font>
    <font>
      <i/>
      <sz val="12"/>
      <name val="Symbol"/>
      <family val="1"/>
    </font>
    <font>
      <i/>
      <vertAlign val="subscript"/>
      <sz val="12"/>
      <name val="Times New Roman"/>
      <family val="1"/>
    </font>
    <font>
      <i/>
      <vertAlign val="subscript"/>
      <sz val="12"/>
      <name val="Symbol"/>
      <family val="1"/>
    </font>
    <font>
      <sz val="8"/>
      <color indexed="10"/>
      <name val="Arial"/>
      <family val="2"/>
    </font>
    <font>
      <i/>
      <sz val="12"/>
      <name val="Arial"/>
      <family val="2"/>
    </font>
    <font>
      <sz val="14"/>
      <name val="Times New Roman"/>
      <family val="1"/>
    </font>
    <font>
      <sz val="12"/>
      <name val="Arial"/>
      <family val="2"/>
    </font>
    <font>
      <sz val="14"/>
      <color indexed="10"/>
      <name val="Times New Roman"/>
      <family val="1"/>
    </font>
    <font>
      <u val="single"/>
      <sz val="14"/>
      <name val="Times New Roman"/>
      <family val="1"/>
    </font>
    <font>
      <u val="single"/>
      <sz val="12"/>
      <name val="Times New Roman"/>
      <family val="1"/>
    </font>
    <font>
      <b/>
      <sz val="13"/>
      <color indexed="10"/>
      <name val="Times New Roman"/>
      <family val="1"/>
    </font>
    <font>
      <b/>
      <i/>
      <sz val="11"/>
      <name val="Times New Roman"/>
      <family val="1"/>
    </font>
    <font>
      <b/>
      <i/>
      <vertAlign val="subscript"/>
      <sz val="11"/>
      <name val="Times New Roman"/>
      <family val="1"/>
    </font>
    <font>
      <b/>
      <i/>
      <sz val="10"/>
      <color indexed="10"/>
      <name val="Symbol"/>
      <family val="1"/>
    </font>
    <font>
      <b/>
      <i/>
      <vertAlign val="subscript"/>
      <sz val="10"/>
      <color indexed="10"/>
      <name val="Times New Roman"/>
      <family val="1"/>
    </font>
    <font>
      <sz val="11"/>
      <name val="Arial"/>
      <family val="2"/>
    </font>
    <font>
      <sz val="11"/>
      <color indexed="10"/>
      <name val="Times New Roman"/>
      <family val="1"/>
    </font>
    <font>
      <sz val="12"/>
      <color indexed="10"/>
      <name val="Times New Roman"/>
      <family val="1"/>
    </font>
    <font>
      <b/>
      <i/>
      <sz val="12"/>
      <name val="Symbol"/>
      <family val="1"/>
    </font>
    <font>
      <vertAlign val="superscript"/>
      <sz val="12"/>
      <name val="Times New Roman"/>
      <family val="1"/>
    </font>
    <font>
      <vertAlign val="superscript"/>
      <sz val="11"/>
      <name val="Times New Roman"/>
      <family val="1"/>
    </font>
    <font>
      <b/>
      <sz val="8"/>
      <name val="Tahoma"/>
      <family val="2"/>
    </font>
    <font>
      <vertAlign val="superscript"/>
      <sz val="12"/>
      <color indexed="10"/>
      <name val="Times New Roman"/>
      <family val="1"/>
    </font>
    <font>
      <b/>
      <sz val="12"/>
      <color indexed="10"/>
      <name val="Times New Roman"/>
      <family val="1"/>
    </font>
    <font>
      <b/>
      <sz val="10"/>
      <color indexed="13"/>
      <name val="Arial"/>
      <family val="2"/>
    </font>
    <font>
      <u val="single"/>
      <sz val="8"/>
      <name val="Tahoma"/>
      <family val="2"/>
    </font>
    <font>
      <sz val="11"/>
      <color indexed="8"/>
      <name val="Segoe UI"/>
      <family val="2"/>
    </font>
    <font>
      <sz val="11"/>
      <color indexed="9"/>
      <name val="Segoe UI"/>
      <family val="2"/>
    </font>
    <font>
      <sz val="11"/>
      <color indexed="20"/>
      <name val="Segoe UI"/>
      <family val="2"/>
    </font>
    <font>
      <b/>
      <sz val="11"/>
      <color indexed="52"/>
      <name val="Segoe UI"/>
      <family val="2"/>
    </font>
    <font>
      <b/>
      <sz val="11"/>
      <color indexed="9"/>
      <name val="Segoe UI"/>
      <family val="2"/>
    </font>
    <font>
      <i/>
      <sz val="11"/>
      <color indexed="23"/>
      <name val="Segoe UI"/>
      <family val="2"/>
    </font>
    <font>
      <sz val="11"/>
      <color indexed="17"/>
      <name val="Segoe UI"/>
      <family val="2"/>
    </font>
    <font>
      <b/>
      <sz val="15"/>
      <color indexed="54"/>
      <name val="Segoe UI"/>
      <family val="2"/>
    </font>
    <font>
      <b/>
      <sz val="13"/>
      <color indexed="54"/>
      <name val="Segoe UI"/>
      <family val="2"/>
    </font>
    <font>
      <b/>
      <sz val="11"/>
      <color indexed="54"/>
      <name val="Segoe UI"/>
      <family val="2"/>
    </font>
    <font>
      <sz val="11"/>
      <color indexed="62"/>
      <name val="Segoe UI"/>
      <family val="2"/>
    </font>
    <font>
      <sz val="11"/>
      <color indexed="52"/>
      <name val="Segoe UI"/>
      <family val="2"/>
    </font>
    <font>
      <sz val="11"/>
      <color indexed="60"/>
      <name val="Segoe UI"/>
      <family val="2"/>
    </font>
    <font>
      <b/>
      <sz val="11"/>
      <color indexed="63"/>
      <name val="Segoe UI"/>
      <family val="2"/>
    </font>
    <font>
      <sz val="18"/>
      <color indexed="54"/>
      <name val="Calibri Light"/>
      <family val="2"/>
    </font>
    <font>
      <b/>
      <sz val="11"/>
      <color indexed="8"/>
      <name val="Segoe UI"/>
      <family val="2"/>
    </font>
    <font>
      <sz val="11"/>
      <color indexed="10"/>
      <name val="Segoe UI"/>
      <family val="2"/>
    </font>
    <font>
      <i/>
      <sz val="11"/>
      <color indexed="22"/>
      <name val="Times New Roman"/>
      <family val="0"/>
    </font>
    <font>
      <b/>
      <sz val="10"/>
      <color indexed="22"/>
      <name val="Times New Roman"/>
      <family val="0"/>
    </font>
    <font>
      <b/>
      <sz val="10"/>
      <color indexed="9"/>
      <name val="Times New Roman"/>
      <family val="0"/>
    </font>
    <font>
      <b/>
      <u val="single"/>
      <sz val="12"/>
      <color indexed="22"/>
      <name val="Times New Roman"/>
      <family val="0"/>
    </font>
    <font>
      <sz val="11"/>
      <color indexed="10"/>
      <name val="Arial"/>
      <family val="0"/>
    </font>
    <font>
      <b/>
      <sz val="11"/>
      <color indexed="10"/>
      <name val="Arial"/>
      <family val="0"/>
    </font>
    <font>
      <sz val="12"/>
      <color indexed="8"/>
      <name val="Times New Roman"/>
      <family val="0"/>
    </font>
    <font>
      <sz val="11"/>
      <color indexed="8"/>
      <name val="Times New Roman"/>
      <family val="0"/>
    </font>
    <font>
      <b/>
      <i/>
      <sz val="11"/>
      <color indexed="8"/>
      <name val="Times New Roman"/>
      <family val="0"/>
    </font>
    <font>
      <b/>
      <i/>
      <vertAlign val="subscript"/>
      <sz val="11"/>
      <color indexed="8"/>
      <name val="Times New Roman"/>
      <family val="0"/>
    </font>
    <font>
      <i/>
      <sz val="11"/>
      <color indexed="10"/>
      <name val="Arial"/>
      <family val="0"/>
    </font>
    <font>
      <b/>
      <i/>
      <sz val="11"/>
      <color indexed="8"/>
      <name val="Arial"/>
      <family val="0"/>
    </font>
    <font>
      <b/>
      <i/>
      <vertAlign val="subscript"/>
      <sz val="11"/>
      <color indexed="8"/>
      <name val="Arial"/>
      <family val="0"/>
    </font>
    <font>
      <vertAlign val="subscript"/>
      <sz val="11"/>
      <color indexed="8"/>
      <name val="Arial"/>
      <family val="0"/>
    </font>
    <font>
      <sz val="11"/>
      <color indexed="8"/>
      <name val="Arial"/>
      <family val="0"/>
    </font>
    <font>
      <sz val="10"/>
      <color indexed="8"/>
      <name val="Arial"/>
      <family val="0"/>
    </font>
    <font>
      <sz val="13"/>
      <color indexed="10"/>
      <name val="Times New Roman"/>
      <family val="0"/>
    </font>
    <font>
      <b/>
      <sz val="12"/>
      <color indexed="25"/>
      <name val="Times New Roman"/>
      <family val="0"/>
    </font>
    <font>
      <sz val="11"/>
      <color theme="1"/>
      <name val="Segoe UI"/>
      <family val="2"/>
    </font>
    <font>
      <sz val="11"/>
      <color theme="0"/>
      <name val="Segoe UI"/>
      <family val="2"/>
    </font>
    <font>
      <sz val="11"/>
      <color rgb="FF9C0006"/>
      <name val="Segoe UI"/>
      <family val="2"/>
    </font>
    <font>
      <b/>
      <sz val="11"/>
      <color rgb="FFFA7D00"/>
      <name val="Segoe UI"/>
      <family val="2"/>
    </font>
    <font>
      <b/>
      <sz val="11"/>
      <color theme="0"/>
      <name val="Segoe UI"/>
      <family val="2"/>
    </font>
    <font>
      <i/>
      <sz val="11"/>
      <color rgb="FF7F7F7F"/>
      <name val="Segoe UI"/>
      <family val="2"/>
    </font>
    <font>
      <sz val="11"/>
      <color rgb="FF006100"/>
      <name val="Segoe UI"/>
      <family val="2"/>
    </font>
    <font>
      <b/>
      <sz val="15"/>
      <color theme="3"/>
      <name val="Segoe UI"/>
      <family val="2"/>
    </font>
    <font>
      <b/>
      <sz val="13"/>
      <color theme="3"/>
      <name val="Segoe UI"/>
      <family val="2"/>
    </font>
    <font>
      <b/>
      <sz val="11"/>
      <color theme="3"/>
      <name val="Segoe UI"/>
      <family val="2"/>
    </font>
    <font>
      <sz val="11"/>
      <color rgb="FF3F3F76"/>
      <name val="Segoe UI"/>
      <family val="2"/>
    </font>
    <font>
      <sz val="11"/>
      <color rgb="FFFA7D00"/>
      <name val="Segoe UI"/>
      <family val="2"/>
    </font>
    <font>
      <sz val="11"/>
      <color rgb="FF9C5700"/>
      <name val="Segoe UI"/>
      <family val="2"/>
    </font>
    <font>
      <b/>
      <sz val="11"/>
      <color rgb="FF3F3F3F"/>
      <name val="Segoe UI"/>
      <family val="2"/>
    </font>
    <font>
      <sz val="18"/>
      <color theme="3"/>
      <name val="Calibri Light"/>
      <family val="2"/>
    </font>
    <font>
      <b/>
      <sz val="11"/>
      <color theme="1"/>
      <name val="Segoe UI"/>
      <family val="2"/>
    </font>
    <font>
      <sz val="11"/>
      <color rgb="FFFF0000"/>
      <name val="Segoe UI"/>
      <family val="2"/>
    </font>
    <font>
      <vertAlign val="superscript"/>
      <sz val="12"/>
      <color rgb="FFFF0000"/>
      <name val="Times New Roman"/>
      <family val="1"/>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11"/>
        <bgColor indexed="64"/>
      </patternFill>
    </fill>
    <fill>
      <patternFill patternType="solid">
        <fgColor indexed="13"/>
        <bgColor indexed="64"/>
      </patternFill>
    </fill>
    <fill>
      <patternFill patternType="solid">
        <fgColor rgb="FFCCFFFF"/>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thin"/>
      <right style="thin"/>
      <top style="thin"/>
      <bottom style="thin"/>
    </border>
    <border>
      <left style="dashed"/>
      <right style="dashed"/>
      <top>
        <color indexed="63"/>
      </top>
      <bottom>
        <color indexed="63"/>
      </bottom>
    </border>
    <border>
      <left>
        <color indexed="63"/>
      </left>
      <right style="dashed"/>
      <top>
        <color indexed="63"/>
      </top>
      <bottom>
        <color indexed="63"/>
      </bottom>
    </border>
    <border>
      <left style="thin"/>
      <right style="medium"/>
      <top style="double"/>
      <bottom style="thin"/>
    </border>
    <border>
      <left style="thin"/>
      <right style="medium"/>
      <top style="thin"/>
      <bottom style="thin"/>
    </border>
    <border>
      <left style="thin"/>
      <right style="medium"/>
      <top style="thin"/>
      <bottom>
        <color indexed="63"/>
      </bottom>
    </border>
    <border>
      <left style="medium"/>
      <right>
        <color indexed="63"/>
      </right>
      <top style="double"/>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thin"/>
      <right style="thin"/>
      <top style="medium"/>
      <bottom style="medium"/>
    </border>
    <border>
      <left>
        <color indexed="63"/>
      </left>
      <right style="thin"/>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color indexed="63"/>
      </right>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medium"/>
    </border>
    <border>
      <left style="medium"/>
      <right>
        <color indexed="63"/>
      </right>
      <top>
        <color indexed="63"/>
      </top>
      <bottom style="thin"/>
    </border>
    <border>
      <left>
        <color indexed="63"/>
      </left>
      <right style="medium"/>
      <top style="medium"/>
      <bottom style="medium"/>
    </border>
    <border>
      <left>
        <color indexed="63"/>
      </left>
      <right style="medium"/>
      <top>
        <color indexed="63"/>
      </top>
      <bottom style="thin"/>
    </border>
    <border>
      <left style="thin"/>
      <right style="thin"/>
      <top>
        <color indexed="63"/>
      </top>
      <bottom>
        <color indexed="63"/>
      </bottom>
    </border>
    <border>
      <left>
        <color indexed="63"/>
      </left>
      <right>
        <color indexed="63"/>
      </right>
      <top style="double"/>
      <bottom style="medium"/>
    </border>
    <border>
      <left>
        <color indexed="63"/>
      </left>
      <right style="medium"/>
      <top style="double"/>
      <bottom style="medium"/>
    </border>
    <border>
      <left>
        <color indexed="63"/>
      </left>
      <right style="thin"/>
      <top>
        <color indexed="63"/>
      </top>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style="double"/>
      <bottom style="medium"/>
    </border>
    <border>
      <left style="thin"/>
      <right>
        <color indexed="63"/>
      </right>
      <top>
        <color indexed="63"/>
      </top>
      <bottom style="double"/>
    </border>
    <border>
      <left style="medium"/>
      <right style="medium"/>
      <top style="medium"/>
      <bottom style="medium"/>
    </border>
    <border>
      <left>
        <color indexed="63"/>
      </left>
      <right>
        <color indexed="63"/>
      </right>
      <top>
        <color indexed="63"/>
      </top>
      <bottom style="thick"/>
    </border>
    <border>
      <left style="thin"/>
      <right style="thin"/>
      <top style="thin"/>
      <bottom style="thick"/>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color indexed="63"/>
      </top>
      <bottom style="medium"/>
    </border>
    <border>
      <left>
        <color indexed="63"/>
      </left>
      <right style="medium"/>
      <top style="thin"/>
      <bottom style="medium"/>
    </border>
    <border>
      <left style="thin"/>
      <right style="medium"/>
      <top style="medium"/>
      <bottom style="double"/>
    </border>
    <border>
      <left style="thin"/>
      <right>
        <color indexed="63"/>
      </right>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thin"/>
    </border>
    <border>
      <left style="thin"/>
      <right>
        <color indexed="63"/>
      </right>
      <top style="thin"/>
      <bottom style="double"/>
    </border>
    <border>
      <left>
        <color indexed="63"/>
      </left>
      <right style="medium"/>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double"/>
      <bottom>
        <color indexed="63"/>
      </bottom>
    </border>
    <border>
      <left style="medium"/>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double"/>
      <bottom>
        <color indexed="63"/>
      </bottom>
    </border>
    <border>
      <left>
        <color indexed="63"/>
      </left>
      <right style="thin"/>
      <top style="medium"/>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26" borderId="0" applyNumberFormat="0" applyBorder="0" applyAlignment="0" applyProtection="0"/>
    <xf numFmtId="0" fontId="109" fillId="27" borderId="1" applyNumberFormat="0" applyAlignment="0" applyProtection="0"/>
    <xf numFmtId="0" fontId="11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0" borderId="0" applyNumberFormat="0" applyFill="0" applyBorder="0" applyAlignment="0" applyProtection="0"/>
    <xf numFmtId="0" fontId="112" fillId="29" borderId="0" applyNumberFormat="0" applyBorder="0" applyAlignment="0" applyProtection="0"/>
    <xf numFmtId="0" fontId="113" fillId="0" borderId="3" applyNumberFormat="0" applyFill="0" applyAlignment="0" applyProtection="0"/>
    <xf numFmtId="0" fontId="114" fillId="0" borderId="4" applyNumberFormat="0" applyFill="0" applyAlignment="0" applyProtection="0"/>
    <xf numFmtId="0" fontId="115" fillId="0" borderId="5" applyNumberFormat="0" applyFill="0" applyAlignment="0" applyProtection="0"/>
    <xf numFmtId="0" fontId="115" fillId="0" borderId="0" applyNumberFormat="0" applyFill="0" applyBorder="0" applyAlignment="0" applyProtection="0"/>
    <xf numFmtId="0" fontId="116" fillId="30" borderId="1" applyNumberFormat="0" applyAlignment="0" applyProtection="0"/>
    <xf numFmtId="0" fontId="117" fillId="0" borderId="6" applyNumberFormat="0" applyFill="0" applyAlignment="0" applyProtection="0"/>
    <xf numFmtId="0" fontId="118" fillId="31" borderId="0" applyNumberFormat="0" applyBorder="0" applyAlignment="0" applyProtection="0"/>
    <xf numFmtId="0" fontId="44" fillId="0" borderId="0">
      <alignment/>
      <protection/>
    </xf>
    <xf numFmtId="0" fontId="0" fillId="32" borderId="7" applyNumberFormat="0" applyFont="0" applyAlignment="0" applyProtection="0"/>
    <xf numFmtId="0" fontId="119" fillId="27" borderId="8" applyNumberFormat="0" applyAlignment="0" applyProtection="0"/>
    <xf numFmtId="9" fontId="0" fillId="0" borderId="0" applyFont="0" applyFill="0" applyBorder="0" applyAlignment="0" applyProtection="0"/>
    <xf numFmtId="0" fontId="120" fillId="0" borderId="0" applyNumberFormat="0" applyFill="0" applyBorder="0" applyAlignment="0" applyProtection="0"/>
    <xf numFmtId="0" fontId="121" fillId="0" borderId="9" applyNumberFormat="0" applyFill="0" applyAlignment="0" applyProtection="0"/>
    <xf numFmtId="0" fontId="122" fillId="0" borderId="0" applyNumberFormat="0" applyFill="0" applyBorder="0" applyAlignment="0" applyProtection="0"/>
  </cellStyleXfs>
  <cellXfs count="457">
    <xf numFmtId="0" fontId="0" fillId="0" borderId="0" xfId="0" applyAlignment="1">
      <alignment/>
    </xf>
    <xf numFmtId="0" fontId="0" fillId="33" borderId="0" xfId="0" applyFill="1" applyAlignment="1">
      <alignment/>
    </xf>
    <xf numFmtId="0" fontId="0" fillId="34" borderId="0" xfId="0" applyFill="1" applyAlignment="1">
      <alignment/>
    </xf>
    <xf numFmtId="0" fontId="0" fillId="33" borderId="0" xfId="0" applyFill="1" applyAlignment="1">
      <alignment horizontal="center"/>
    </xf>
    <xf numFmtId="0" fontId="16" fillId="33" borderId="0" xfId="0" applyFont="1" applyFill="1" applyAlignment="1">
      <alignment horizontal="center"/>
    </xf>
    <xf numFmtId="0" fontId="23" fillId="33" borderId="0" xfId="0" applyFont="1" applyFill="1" applyAlignment="1">
      <alignment horizontal="center"/>
    </xf>
    <xf numFmtId="0" fontId="24" fillId="33" borderId="0" xfId="0" applyFont="1" applyFill="1" applyAlignment="1">
      <alignment horizontal="center"/>
    </xf>
    <xf numFmtId="0" fontId="25" fillId="33" borderId="0" xfId="0" applyFont="1" applyFill="1" applyAlignment="1">
      <alignment horizontal="center"/>
    </xf>
    <xf numFmtId="0" fontId="26" fillId="33" borderId="0" xfId="0" applyFont="1" applyFill="1" applyAlignment="1">
      <alignment/>
    </xf>
    <xf numFmtId="0" fontId="13" fillId="33" borderId="0" xfId="0" applyFont="1" applyFill="1" applyAlignment="1">
      <alignment/>
    </xf>
    <xf numFmtId="0" fontId="27" fillId="33" borderId="0" xfId="0" applyFont="1" applyFill="1" applyAlignment="1">
      <alignment horizontal="center"/>
    </xf>
    <xf numFmtId="0" fontId="26" fillId="33" borderId="0" xfId="0" applyFont="1" applyFill="1" applyAlignment="1">
      <alignment horizontal="left"/>
    </xf>
    <xf numFmtId="0" fontId="20"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7" fillId="0" borderId="0" xfId="0" applyFont="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horizontal="center"/>
      <protection/>
    </xf>
    <xf numFmtId="0" fontId="11" fillId="0" borderId="0" xfId="0" applyFont="1" applyAlignment="1" applyProtection="1">
      <alignment horizontal="center"/>
      <protection/>
    </xf>
    <xf numFmtId="0" fontId="1" fillId="35" borderId="0" xfId="0" applyFont="1" applyFill="1" applyAlignment="1" applyProtection="1">
      <alignment/>
      <protection/>
    </xf>
    <xf numFmtId="0" fontId="2" fillId="35" borderId="0" xfId="0" applyFont="1" applyFill="1" applyAlignment="1" applyProtection="1">
      <alignment/>
      <protection/>
    </xf>
    <xf numFmtId="0" fontId="2" fillId="35" borderId="0" xfId="0" applyFont="1" applyFill="1" applyBorder="1" applyAlignment="1" applyProtection="1">
      <alignment/>
      <protection/>
    </xf>
    <xf numFmtId="0" fontId="3" fillId="35" borderId="0" xfId="0" applyFont="1" applyFill="1" applyBorder="1" applyAlignment="1" applyProtection="1">
      <alignment horizontal="center"/>
      <protection/>
    </xf>
    <xf numFmtId="0" fontId="14" fillId="35" borderId="0" xfId="0" applyFont="1" applyFill="1" applyAlignment="1" applyProtection="1">
      <alignment horizontal="center"/>
      <protection/>
    </xf>
    <xf numFmtId="0" fontId="10" fillId="35" borderId="0" xfId="0" applyFont="1" applyFill="1" applyAlignment="1" applyProtection="1">
      <alignment/>
      <protection/>
    </xf>
    <xf numFmtId="0" fontId="4" fillId="35" borderId="0" xfId="0" applyFont="1" applyFill="1" applyBorder="1" applyAlignment="1" applyProtection="1">
      <alignment horizontal="left"/>
      <protection/>
    </xf>
    <xf numFmtId="14" fontId="10" fillId="35" borderId="0" xfId="0" applyNumberFormat="1" applyFont="1" applyFill="1" applyAlignment="1" applyProtection="1">
      <alignment/>
      <protection/>
    </xf>
    <xf numFmtId="0" fontId="14" fillId="35" borderId="0" xfId="0" applyFont="1" applyFill="1" applyBorder="1" applyAlignment="1" applyProtection="1">
      <alignment horizontal="center"/>
      <protection/>
    </xf>
    <xf numFmtId="0" fontId="4" fillId="35" borderId="10" xfId="0" applyFont="1" applyFill="1" applyBorder="1" applyAlignment="1" applyProtection="1">
      <alignment horizontal="left"/>
      <protection/>
    </xf>
    <xf numFmtId="14" fontId="10" fillId="35" borderId="10" xfId="0" applyNumberFormat="1" applyFont="1" applyFill="1" applyBorder="1" applyAlignment="1" applyProtection="1">
      <alignment/>
      <protection/>
    </xf>
    <xf numFmtId="0" fontId="12" fillId="35" borderId="0" xfId="0" applyFont="1" applyFill="1" applyBorder="1" applyAlignment="1" applyProtection="1">
      <alignment/>
      <protection/>
    </xf>
    <xf numFmtId="0" fontId="5" fillId="35" borderId="0" xfId="0" applyFont="1" applyFill="1" applyBorder="1" applyAlignment="1" applyProtection="1">
      <alignment/>
      <protection/>
    </xf>
    <xf numFmtId="0" fontId="7" fillId="35" borderId="0" xfId="0" applyFont="1" applyFill="1" applyAlignment="1" applyProtection="1">
      <alignment/>
      <protection/>
    </xf>
    <xf numFmtId="0" fontId="6" fillId="35" borderId="0" xfId="0" applyFont="1" applyFill="1" applyAlignment="1" applyProtection="1">
      <alignment horizontal="left"/>
      <protection/>
    </xf>
    <xf numFmtId="0" fontId="7" fillId="35" borderId="0" xfId="0" applyFont="1" applyFill="1" applyBorder="1" applyAlignment="1" applyProtection="1">
      <alignment/>
      <protection/>
    </xf>
    <xf numFmtId="0" fontId="8" fillId="35" borderId="0" xfId="0" applyFont="1" applyFill="1" applyBorder="1" applyAlignment="1" applyProtection="1">
      <alignment horizontal="center"/>
      <protection/>
    </xf>
    <xf numFmtId="0" fontId="11" fillId="35" borderId="0" xfId="0" applyFont="1" applyFill="1" applyBorder="1" applyAlignment="1" applyProtection="1">
      <alignment horizontal="center"/>
      <protection/>
    </xf>
    <xf numFmtId="0" fontId="10" fillId="35" borderId="0" xfId="0" applyFont="1" applyFill="1" applyBorder="1" applyAlignment="1" applyProtection="1">
      <alignment horizontal="center"/>
      <protection/>
    </xf>
    <xf numFmtId="0" fontId="7" fillId="35" borderId="11" xfId="0" applyFont="1" applyFill="1" applyBorder="1" applyAlignment="1" applyProtection="1">
      <alignment/>
      <protection/>
    </xf>
    <xf numFmtId="0" fontId="9" fillId="35" borderId="11" xfId="0" applyFont="1" applyFill="1" applyBorder="1" applyAlignment="1" applyProtection="1">
      <alignment horizontal="center"/>
      <protection/>
    </xf>
    <xf numFmtId="0" fontId="11" fillId="35" borderId="11" xfId="0" applyFont="1" applyFill="1" applyBorder="1" applyAlignment="1" applyProtection="1">
      <alignment horizontal="center"/>
      <protection/>
    </xf>
    <xf numFmtId="0" fontId="5" fillId="35" borderId="0" xfId="0" applyFont="1" applyFill="1" applyAlignment="1" applyProtection="1">
      <alignment/>
      <protection/>
    </xf>
    <xf numFmtId="0" fontId="10" fillId="35" borderId="0" xfId="0" applyFont="1" applyFill="1" applyBorder="1" applyAlignment="1" applyProtection="1">
      <alignment/>
      <protection/>
    </xf>
    <xf numFmtId="0" fontId="12" fillId="35" borderId="0" xfId="0" applyFont="1" applyFill="1" applyBorder="1" applyAlignment="1" applyProtection="1">
      <alignment horizontal="center"/>
      <protection/>
    </xf>
    <xf numFmtId="0" fontId="7" fillId="35" borderId="0" xfId="0" applyFont="1" applyFill="1" applyBorder="1" applyAlignment="1" applyProtection="1">
      <alignment horizontal="center"/>
      <protection/>
    </xf>
    <xf numFmtId="0" fontId="10" fillId="35" borderId="0" xfId="0" applyFont="1" applyFill="1" applyBorder="1" applyAlignment="1" applyProtection="1">
      <alignment/>
      <protection/>
    </xf>
    <xf numFmtId="0" fontId="7" fillId="35" borderId="0" xfId="0" applyFont="1" applyFill="1" applyBorder="1" applyAlignment="1" applyProtection="1">
      <alignment horizontal="left"/>
      <protection/>
    </xf>
    <xf numFmtId="0" fontId="7" fillId="35" borderId="12" xfId="0" applyFont="1" applyFill="1" applyBorder="1" applyAlignment="1" applyProtection="1">
      <alignment/>
      <protection/>
    </xf>
    <xf numFmtId="0" fontId="8" fillId="35" borderId="12" xfId="0" applyFont="1" applyFill="1" applyBorder="1" applyAlignment="1" applyProtection="1">
      <alignment horizontal="center"/>
      <protection/>
    </xf>
    <xf numFmtId="0" fontId="18" fillId="35" borderId="10" xfId="0" applyFont="1" applyFill="1" applyBorder="1" applyAlignment="1" applyProtection="1">
      <alignment horizontal="center"/>
      <protection/>
    </xf>
    <xf numFmtId="0" fontId="7" fillId="35" borderId="10" xfId="0" applyFont="1" applyFill="1" applyBorder="1" applyAlignment="1" applyProtection="1">
      <alignment/>
      <protection/>
    </xf>
    <xf numFmtId="0" fontId="7" fillId="35" borderId="0" xfId="0" applyFont="1" applyFill="1" applyBorder="1" applyAlignment="1" applyProtection="1">
      <alignment horizontal="left" vertical="center"/>
      <protection/>
    </xf>
    <xf numFmtId="0" fontId="7" fillId="35" borderId="0" xfId="0" applyFont="1" applyFill="1" applyBorder="1" applyAlignment="1" applyProtection="1">
      <alignment horizontal="left" vertical="center" wrapText="1"/>
      <protection/>
    </xf>
    <xf numFmtId="0" fontId="13" fillId="35" borderId="0" xfId="0" applyFont="1" applyFill="1" applyAlignment="1" applyProtection="1">
      <alignment horizontal="right"/>
      <protection/>
    </xf>
    <xf numFmtId="0" fontId="5" fillId="35" borderId="0" xfId="0" applyFont="1" applyFill="1" applyBorder="1" applyAlignment="1" applyProtection="1">
      <alignment/>
      <protection/>
    </xf>
    <xf numFmtId="11" fontId="7" fillId="35" borderId="0" xfId="0" applyNumberFormat="1" applyFont="1" applyFill="1" applyBorder="1" applyAlignment="1" applyProtection="1">
      <alignment horizontal="center"/>
      <protection/>
    </xf>
    <xf numFmtId="0" fontId="7" fillId="35" borderId="0" xfId="0" applyFont="1" applyFill="1" applyBorder="1" applyAlignment="1" applyProtection="1">
      <alignment wrapText="1"/>
      <protection/>
    </xf>
    <xf numFmtId="0" fontId="7" fillId="35" borderId="0" xfId="0" applyFont="1" applyFill="1" applyBorder="1" applyAlignment="1" applyProtection="1">
      <alignment/>
      <protection/>
    </xf>
    <xf numFmtId="0" fontId="18" fillId="35" borderId="13" xfId="0" applyFont="1" applyFill="1" applyBorder="1" applyAlignment="1" applyProtection="1">
      <alignment horizontal="center"/>
      <protection/>
    </xf>
    <xf numFmtId="0" fontId="7" fillId="35" borderId="13" xfId="0" applyFont="1" applyFill="1" applyBorder="1" applyAlignment="1" applyProtection="1">
      <alignment/>
      <protection/>
    </xf>
    <xf numFmtId="0" fontId="13" fillId="35" borderId="0" xfId="0" applyFont="1" applyFill="1" applyBorder="1" applyAlignment="1" applyProtection="1">
      <alignment horizontal="left"/>
      <protection/>
    </xf>
    <xf numFmtId="0" fontId="13" fillId="35" borderId="0" xfId="0" applyFont="1" applyFill="1" applyBorder="1" applyAlignment="1" applyProtection="1">
      <alignment/>
      <protection/>
    </xf>
    <xf numFmtId="11" fontId="11" fillId="35" borderId="0" xfId="0" applyNumberFormat="1" applyFont="1" applyFill="1" applyBorder="1" applyAlignment="1" applyProtection="1">
      <alignment horizontal="center"/>
      <protection/>
    </xf>
    <xf numFmtId="0" fontId="7" fillId="35" borderId="14" xfId="0" applyFont="1" applyFill="1" applyBorder="1" applyAlignment="1" applyProtection="1">
      <alignment/>
      <protection/>
    </xf>
    <xf numFmtId="0" fontId="8" fillId="35" borderId="14" xfId="0" applyFont="1" applyFill="1" applyBorder="1" applyAlignment="1" applyProtection="1">
      <alignment horizontal="center"/>
      <protection/>
    </xf>
    <xf numFmtId="0" fontId="11" fillId="35" borderId="14" xfId="0" applyFont="1" applyFill="1" applyBorder="1" applyAlignment="1" applyProtection="1">
      <alignment horizontal="center"/>
      <protection/>
    </xf>
    <xf numFmtId="0" fontId="6" fillId="35" borderId="0" xfId="0" applyFont="1" applyFill="1" applyAlignment="1" applyProtection="1">
      <alignment/>
      <protection/>
    </xf>
    <xf numFmtId="0" fontId="6" fillId="35" borderId="0" xfId="0" applyFont="1" applyFill="1" applyBorder="1" applyAlignment="1" applyProtection="1">
      <alignment horizontal="center"/>
      <protection/>
    </xf>
    <xf numFmtId="167" fontId="11" fillId="35" borderId="0" xfId="0" applyNumberFormat="1" applyFont="1" applyFill="1" applyBorder="1" applyAlignment="1" applyProtection="1">
      <alignment horizontal="center"/>
      <protection/>
    </xf>
    <xf numFmtId="0" fontId="6" fillId="35" borderId="0" xfId="0" applyFont="1" applyFill="1" applyAlignment="1" applyProtection="1">
      <alignment horizontal="right"/>
      <protection/>
    </xf>
    <xf numFmtId="0" fontId="7" fillId="35" borderId="15" xfId="0" applyFont="1" applyFill="1" applyBorder="1" applyAlignment="1" applyProtection="1">
      <alignment/>
      <protection/>
    </xf>
    <xf numFmtId="0" fontId="11" fillId="0" borderId="0" xfId="0" applyFont="1" applyBorder="1" applyAlignment="1" applyProtection="1">
      <alignment horizontal="center"/>
      <protection/>
    </xf>
    <xf numFmtId="0" fontId="11" fillId="35" borderId="0" xfId="0" applyFont="1" applyFill="1" applyAlignment="1" applyProtection="1">
      <alignment horizontal="center"/>
      <protection/>
    </xf>
    <xf numFmtId="0" fontId="12" fillId="35" borderId="0" xfId="0" applyFont="1" applyFill="1" applyAlignment="1" applyProtection="1">
      <alignment/>
      <protection/>
    </xf>
    <xf numFmtId="0" fontId="7" fillId="35" borderId="16" xfId="0" applyFont="1" applyFill="1" applyBorder="1" applyAlignment="1" applyProtection="1">
      <alignment/>
      <protection/>
    </xf>
    <xf numFmtId="0" fontId="8" fillId="35" borderId="16" xfId="0" applyFont="1" applyFill="1" applyBorder="1" applyAlignment="1" applyProtection="1">
      <alignment horizontal="center"/>
      <protection/>
    </xf>
    <xf numFmtId="0" fontId="10" fillId="35" borderId="16" xfId="0" applyFont="1" applyFill="1" applyBorder="1" applyAlignment="1" applyProtection="1">
      <alignment horizontal="center"/>
      <protection/>
    </xf>
    <xf numFmtId="0" fontId="8" fillId="35" borderId="13" xfId="0" applyFont="1" applyFill="1" applyBorder="1" applyAlignment="1" applyProtection="1">
      <alignment horizontal="center"/>
      <protection/>
    </xf>
    <xf numFmtId="0" fontId="10" fillId="35" borderId="13" xfId="0" applyFont="1" applyFill="1" applyBorder="1" applyAlignment="1" applyProtection="1">
      <alignment horizontal="center"/>
      <protection/>
    </xf>
    <xf numFmtId="0" fontId="10" fillId="35" borderId="12" xfId="0" applyFont="1" applyFill="1" applyBorder="1" applyAlignment="1" applyProtection="1">
      <alignment horizontal="center"/>
      <protection/>
    </xf>
    <xf numFmtId="0" fontId="8" fillId="35" borderId="15" xfId="0" applyFont="1" applyFill="1" applyBorder="1" applyAlignment="1" applyProtection="1">
      <alignment horizontal="center"/>
      <protection/>
    </xf>
    <xf numFmtId="0" fontId="10" fillId="35" borderId="15" xfId="0" applyFont="1" applyFill="1" applyBorder="1" applyAlignment="1" applyProtection="1">
      <alignment horizontal="center"/>
      <protection/>
    </xf>
    <xf numFmtId="0" fontId="22" fillId="35" borderId="0" xfId="0" applyFont="1" applyFill="1" applyAlignment="1" applyProtection="1">
      <alignment horizontal="center"/>
      <protection/>
    </xf>
    <xf numFmtId="169" fontId="21" fillId="35" borderId="0" xfId="0" applyNumberFormat="1" applyFont="1" applyFill="1" applyAlignment="1" applyProtection="1">
      <alignment horizontal="center"/>
      <protection/>
    </xf>
    <xf numFmtId="0" fontId="12" fillId="35" borderId="17" xfId="0" applyFont="1" applyFill="1" applyBorder="1" applyAlignment="1" applyProtection="1">
      <alignment horizontal="center"/>
      <protection/>
    </xf>
    <xf numFmtId="0" fontId="11" fillId="35" borderId="10" xfId="0" applyFont="1" applyFill="1" applyBorder="1" applyAlignment="1" applyProtection="1">
      <alignment horizontal="center"/>
      <protection/>
    </xf>
    <xf numFmtId="0" fontId="18" fillId="35" borderId="13" xfId="0" applyFont="1" applyFill="1" applyBorder="1" applyAlignment="1" applyProtection="1">
      <alignment horizontal="left"/>
      <protection/>
    </xf>
    <xf numFmtId="14" fontId="4" fillId="36" borderId="0" xfId="0" applyNumberFormat="1" applyFont="1" applyFill="1" applyAlignment="1" applyProtection="1">
      <alignment horizontal="left"/>
      <protection locked="0"/>
    </xf>
    <xf numFmtId="14" fontId="4" fillId="36" borderId="10" xfId="0" applyNumberFormat="1" applyFont="1" applyFill="1" applyBorder="1" applyAlignment="1" applyProtection="1">
      <alignment horizontal="left"/>
      <protection locked="0"/>
    </xf>
    <xf numFmtId="0" fontId="14" fillId="35" borderId="0" xfId="0" applyFont="1" applyFill="1" applyAlignment="1" applyProtection="1">
      <alignment/>
      <protection/>
    </xf>
    <xf numFmtId="0" fontId="18" fillId="35" borderId="18" xfId="0" applyFont="1" applyFill="1" applyBorder="1" applyAlignment="1" applyProtection="1">
      <alignment/>
      <protection/>
    </xf>
    <xf numFmtId="166" fontId="7" fillId="35" borderId="0" xfId="0" applyNumberFormat="1" applyFont="1" applyFill="1" applyBorder="1" applyAlignment="1" applyProtection="1">
      <alignment horizontal="center"/>
      <protection/>
    </xf>
    <xf numFmtId="0" fontId="10" fillId="35" borderId="0" xfId="0" applyFont="1" applyFill="1" applyBorder="1" applyAlignment="1" applyProtection="1">
      <alignment horizontal="left"/>
      <protection/>
    </xf>
    <xf numFmtId="2" fontId="7" fillId="35" borderId="0" xfId="0" applyNumberFormat="1" applyFont="1" applyFill="1" applyBorder="1" applyAlignment="1" applyProtection="1">
      <alignment horizontal="left"/>
      <protection/>
    </xf>
    <xf numFmtId="11" fontId="7" fillId="35" borderId="0" xfId="0" applyNumberFormat="1" applyFont="1" applyFill="1" applyBorder="1" applyAlignment="1" applyProtection="1">
      <alignment horizontal="left"/>
      <protection/>
    </xf>
    <xf numFmtId="0" fontId="7" fillId="35" borderId="0" xfId="0" applyFont="1" applyFill="1" applyAlignment="1" applyProtection="1">
      <alignment horizontal="left"/>
      <protection/>
    </xf>
    <xf numFmtId="0" fontId="7" fillId="35" borderId="19" xfId="0" applyFont="1" applyFill="1" applyBorder="1" applyAlignment="1" applyProtection="1">
      <alignment/>
      <protection/>
    </xf>
    <xf numFmtId="0" fontId="7" fillId="35" borderId="20" xfId="0" applyFont="1" applyFill="1" applyBorder="1" applyAlignment="1" applyProtection="1">
      <alignment/>
      <protection/>
    </xf>
    <xf numFmtId="0" fontId="10" fillId="35" borderId="14" xfId="0" applyFont="1" applyFill="1" applyBorder="1" applyAlignment="1" applyProtection="1">
      <alignment horizontal="center"/>
      <protection/>
    </xf>
    <xf numFmtId="171" fontId="9" fillId="35" borderId="19" xfId="0" applyNumberFormat="1" applyFont="1" applyFill="1" applyBorder="1" applyAlignment="1" applyProtection="1">
      <alignment horizontal="center"/>
      <protection/>
    </xf>
    <xf numFmtId="0" fontId="35" fillId="35" borderId="0" xfId="0" applyFont="1" applyFill="1" applyAlignment="1" applyProtection="1">
      <alignment/>
      <protection/>
    </xf>
    <xf numFmtId="166" fontId="21" fillId="35" borderId="0" xfId="0" applyNumberFormat="1" applyFont="1" applyFill="1" applyAlignment="1" applyProtection="1">
      <alignment horizontal="center"/>
      <protection/>
    </xf>
    <xf numFmtId="0" fontId="10" fillId="0" borderId="21" xfId="0" applyNumberFormat="1" applyFont="1" applyFill="1" applyBorder="1" applyAlignment="1" applyProtection="1">
      <alignment horizontal="center"/>
      <protection locked="0"/>
    </xf>
    <xf numFmtId="0" fontId="10" fillId="0" borderId="22" xfId="0" applyNumberFormat="1" applyFont="1" applyFill="1" applyBorder="1" applyAlignment="1" applyProtection="1">
      <alignment horizontal="center"/>
      <protection locked="0"/>
    </xf>
    <xf numFmtId="0" fontId="10" fillId="0" borderId="22" xfId="0" applyNumberFormat="1" applyFont="1" applyFill="1" applyBorder="1" applyAlignment="1" applyProtection="1">
      <alignment horizontal="center" vertical="center"/>
      <protection locked="0"/>
    </xf>
    <xf numFmtId="166" fontId="10" fillId="0" borderId="22" xfId="0" applyNumberFormat="1" applyFont="1" applyFill="1" applyBorder="1" applyAlignment="1" applyProtection="1">
      <alignment horizontal="center"/>
      <protection locked="0"/>
    </xf>
    <xf numFmtId="164" fontId="10" fillId="35" borderId="23" xfId="0" applyNumberFormat="1" applyFont="1" applyFill="1" applyBorder="1" applyAlignment="1" applyProtection="1">
      <alignment horizontal="center"/>
      <protection/>
    </xf>
    <xf numFmtId="11" fontId="10" fillId="35" borderId="23" xfId="0" applyNumberFormat="1" applyFont="1" applyFill="1" applyBorder="1" applyAlignment="1" applyProtection="1">
      <alignment horizontal="center"/>
      <protection/>
    </xf>
    <xf numFmtId="165" fontId="10" fillId="35" borderId="10" xfId="0" applyNumberFormat="1" applyFont="1" applyFill="1" applyBorder="1" applyAlignment="1" applyProtection="1">
      <alignment horizontal="center"/>
      <protection/>
    </xf>
    <xf numFmtId="2" fontId="10" fillId="35" borderId="13" xfId="0" applyNumberFormat="1" applyFont="1" applyFill="1" applyBorder="1" applyAlignment="1" applyProtection="1">
      <alignment horizontal="center" vertical="center"/>
      <protection/>
    </xf>
    <xf numFmtId="170" fontId="41" fillId="35" borderId="13" xfId="0" applyNumberFormat="1" applyFont="1" applyFill="1" applyBorder="1" applyAlignment="1" applyProtection="1">
      <alignment horizontal="center" vertical="center"/>
      <protection/>
    </xf>
    <xf numFmtId="0" fontId="9" fillId="35" borderId="11" xfId="0" applyFont="1" applyFill="1" applyBorder="1" applyAlignment="1" applyProtection="1">
      <alignment/>
      <protection/>
    </xf>
    <xf numFmtId="0" fontId="32" fillId="35" borderId="11" xfId="0" applyFont="1" applyFill="1" applyBorder="1" applyAlignment="1" applyProtection="1">
      <alignment horizontal="left"/>
      <protection/>
    </xf>
    <xf numFmtId="0" fontId="10" fillId="35" borderId="11" xfId="0" applyFont="1" applyFill="1" applyBorder="1" applyAlignment="1" applyProtection="1">
      <alignment horizontal="center"/>
      <protection/>
    </xf>
    <xf numFmtId="0" fontId="7" fillId="35" borderId="0" xfId="0" applyFont="1" applyFill="1" applyAlignment="1" applyProtection="1">
      <alignment vertical="center"/>
      <protection/>
    </xf>
    <xf numFmtId="0" fontId="5" fillId="35" borderId="0" xfId="0" applyFont="1" applyFill="1" applyAlignment="1" applyProtection="1">
      <alignment vertical="center"/>
      <protection/>
    </xf>
    <xf numFmtId="0" fontId="7" fillId="35" borderId="0" xfId="0" applyFont="1" applyFill="1" applyBorder="1" applyAlignment="1" applyProtection="1">
      <alignment vertical="center"/>
      <protection/>
    </xf>
    <xf numFmtId="2" fontId="7" fillId="35" borderId="0" xfId="0" applyNumberFormat="1" applyFont="1" applyFill="1" applyBorder="1" applyAlignment="1" applyProtection="1">
      <alignment horizontal="left" vertical="center"/>
      <protection/>
    </xf>
    <xf numFmtId="0" fontId="13" fillId="35" borderId="0" xfId="0" applyFont="1" applyFill="1" applyAlignment="1" applyProtection="1">
      <alignment horizontal="right" vertical="center"/>
      <protection/>
    </xf>
    <xf numFmtId="0" fontId="13" fillId="35" borderId="0" xfId="0" applyFont="1" applyFill="1" applyBorder="1" applyAlignment="1" applyProtection="1">
      <alignment vertical="center"/>
      <protection/>
    </xf>
    <xf numFmtId="0" fontId="10" fillId="35" borderId="13" xfId="0" applyFont="1" applyFill="1" applyBorder="1" applyAlignment="1" applyProtection="1">
      <alignment horizontal="center" vertical="center"/>
      <protection/>
    </xf>
    <xf numFmtId="0" fontId="13" fillId="35" borderId="0" xfId="0" applyFont="1" applyFill="1" applyBorder="1" applyAlignment="1" applyProtection="1">
      <alignment horizontal="right" vertical="center"/>
      <protection/>
    </xf>
    <xf numFmtId="0" fontId="10" fillId="35" borderId="0" xfId="0" applyFont="1" applyFill="1" applyBorder="1" applyAlignment="1" applyProtection="1">
      <alignment horizontal="center" vertical="center"/>
      <protection/>
    </xf>
    <xf numFmtId="0" fontId="10" fillId="35" borderId="0" xfId="0" applyFont="1" applyFill="1" applyBorder="1" applyAlignment="1" applyProtection="1">
      <alignment horizontal="left" vertical="center"/>
      <protection/>
    </xf>
    <xf numFmtId="11" fontId="10" fillId="35" borderId="0" xfId="0" applyNumberFormat="1" applyFont="1" applyFill="1" applyBorder="1" applyAlignment="1" applyProtection="1">
      <alignment horizontal="center" vertical="center"/>
      <protection/>
    </xf>
    <xf numFmtId="166" fontId="10" fillId="0" borderId="22" xfId="0" applyNumberFormat="1" applyFont="1" applyFill="1" applyBorder="1" applyAlignment="1" applyProtection="1">
      <alignment horizontal="center" vertical="center"/>
      <protection locked="0"/>
    </xf>
    <xf numFmtId="0" fontId="18" fillId="35" borderId="12" xfId="0" applyFont="1" applyFill="1" applyBorder="1" applyAlignment="1" applyProtection="1">
      <alignment horizontal="center" vertical="center"/>
      <protection/>
    </xf>
    <xf numFmtId="0" fontId="10" fillId="0" borderId="22" xfId="58" applyNumberFormat="1" applyFont="1" applyFill="1" applyBorder="1" applyAlignment="1" applyProtection="1">
      <alignment horizontal="center" vertical="center"/>
      <protection locked="0"/>
    </xf>
    <xf numFmtId="0" fontId="5" fillId="35" borderId="0" xfId="0" applyFont="1" applyFill="1" applyBorder="1" applyAlignment="1" applyProtection="1">
      <alignment horizontal="left" vertical="center"/>
      <protection/>
    </xf>
    <xf numFmtId="0" fontId="13" fillId="35" borderId="0" xfId="0" applyFont="1" applyFill="1" applyBorder="1" applyAlignment="1" applyProtection="1">
      <alignment horizontal="left" vertical="center"/>
      <protection/>
    </xf>
    <xf numFmtId="0" fontId="42" fillId="35" borderId="0" xfId="0" applyFont="1" applyFill="1" applyBorder="1" applyAlignment="1" applyProtection="1">
      <alignment horizontal="left"/>
      <protection/>
    </xf>
    <xf numFmtId="0" fontId="6" fillId="35" borderId="0" xfId="0" applyFont="1" applyFill="1" applyAlignment="1" applyProtection="1">
      <alignment horizontal="right" vertical="center"/>
      <protection/>
    </xf>
    <xf numFmtId="0" fontId="5" fillId="37" borderId="14" xfId="0" applyFont="1" applyFill="1" applyBorder="1" applyAlignment="1" applyProtection="1">
      <alignment vertical="center"/>
      <protection/>
    </xf>
    <xf numFmtId="11" fontId="5" fillId="37" borderId="14" xfId="0" applyNumberFormat="1" applyFont="1" applyFill="1" applyBorder="1" applyAlignment="1" applyProtection="1">
      <alignment vertical="center"/>
      <protection/>
    </xf>
    <xf numFmtId="0" fontId="7" fillId="37" borderId="14" xfId="0" applyFont="1" applyFill="1" applyBorder="1" applyAlignment="1" applyProtection="1">
      <alignment horizontal="left" vertical="center"/>
      <protection/>
    </xf>
    <xf numFmtId="0" fontId="13" fillId="37" borderId="14" xfId="0" applyFont="1" applyFill="1" applyBorder="1" applyAlignment="1" applyProtection="1">
      <alignment horizontal="left" vertical="center"/>
      <protection/>
    </xf>
    <xf numFmtId="0" fontId="12" fillId="35" borderId="0" xfId="0" applyFont="1" applyFill="1" applyBorder="1" applyAlignment="1" applyProtection="1">
      <alignment horizontal="center" vertical="center"/>
      <protection/>
    </xf>
    <xf numFmtId="0" fontId="12" fillId="35" borderId="12" xfId="0" applyFont="1" applyFill="1" applyBorder="1" applyAlignment="1" applyProtection="1">
      <alignment horizontal="center" vertical="center"/>
      <protection/>
    </xf>
    <xf numFmtId="0" fontId="12" fillId="35" borderId="10" xfId="0" applyFont="1" applyFill="1" applyBorder="1" applyAlignment="1" applyProtection="1">
      <alignment horizontal="center"/>
      <protection/>
    </xf>
    <xf numFmtId="0" fontId="12" fillId="35" borderId="24" xfId="0" applyFont="1" applyFill="1" applyBorder="1" applyAlignment="1" applyProtection="1">
      <alignment horizontal="center"/>
      <protection/>
    </xf>
    <xf numFmtId="11" fontId="10" fillId="35" borderId="10" xfId="0" applyNumberFormat="1" applyFont="1" applyFill="1" applyBorder="1" applyAlignment="1" applyProtection="1">
      <alignment horizontal="center" vertical="center"/>
      <protection/>
    </xf>
    <xf numFmtId="167" fontId="11" fillId="35" borderId="0" xfId="0" applyNumberFormat="1" applyFont="1" applyFill="1" applyBorder="1" applyAlignment="1" applyProtection="1">
      <alignment horizontal="center" vertical="center"/>
      <protection/>
    </xf>
    <xf numFmtId="11" fontId="11" fillId="35" borderId="0" xfId="0" applyNumberFormat="1" applyFont="1" applyFill="1" applyBorder="1" applyAlignment="1" applyProtection="1">
      <alignment horizontal="center" vertical="center"/>
      <protection/>
    </xf>
    <xf numFmtId="0" fontId="7" fillId="35" borderId="0" xfId="0" applyFont="1" applyFill="1" applyAlignment="1" applyProtection="1">
      <alignment horizontal="left" vertical="center"/>
      <protection/>
    </xf>
    <xf numFmtId="0" fontId="44" fillId="0" borderId="0" xfId="55">
      <alignment/>
      <protection/>
    </xf>
    <xf numFmtId="0" fontId="45" fillId="35" borderId="0" xfId="0" applyFont="1" applyFill="1" applyBorder="1" applyAlignment="1" applyProtection="1">
      <alignment horizontal="center"/>
      <protection/>
    </xf>
    <xf numFmtId="0" fontId="45" fillId="35" borderId="13" xfId="0" applyFont="1" applyFill="1" applyBorder="1" applyAlignment="1" applyProtection="1">
      <alignment horizontal="center"/>
      <protection/>
    </xf>
    <xf numFmtId="166" fontId="9" fillId="35" borderId="0" xfId="0" applyNumberFormat="1" applyFont="1" applyFill="1" applyBorder="1" applyAlignment="1" applyProtection="1">
      <alignment horizontal="center"/>
      <protection/>
    </xf>
    <xf numFmtId="166" fontId="2" fillId="35" borderId="25" xfId="0" applyNumberFormat="1" applyFont="1" applyFill="1" applyBorder="1" applyAlignment="1" applyProtection="1">
      <alignment horizontal="center"/>
      <protection/>
    </xf>
    <xf numFmtId="166" fontId="2" fillId="35" borderId="26" xfId="0" applyNumberFormat="1" applyFont="1" applyFill="1" applyBorder="1" applyAlignment="1" applyProtection="1">
      <alignment horizontal="center"/>
      <protection/>
    </xf>
    <xf numFmtId="0" fontId="2" fillId="35" borderId="27" xfId="0" applyNumberFormat="1" applyFont="1" applyFill="1" applyBorder="1" applyAlignment="1" applyProtection="1">
      <alignment horizontal="center"/>
      <protection/>
    </xf>
    <xf numFmtId="0" fontId="9" fillId="35" borderId="0" xfId="0" applyFont="1" applyFill="1" applyBorder="1" applyAlignment="1" applyProtection="1">
      <alignment/>
      <protection/>
    </xf>
    <xf numFmtId="0" fontId="32" fillId="35" borderId="0" xfId="0" applyFont="1" applyFill="1" applyBorder="1" applyAlignment="1" applyProtection="1">
      <alignment horizontal="left"/>
      <protection/>
    </xf>
    <xf numFmtId="0" fontId="10" fillId="35" borderId="28" xfId="0" applyFont="1" applyFill="1" applyBorder="1" applyAlignment="1" applyProtection="1">
      <alignment/>
      <protection/>
    </xf>
    <xf numFmtId="0" fontId="10" fillId="35" borderId="29" xfId="0" applyFont="1" applyFill="1" applyBorder="1" applyAlignment="1" applyProtection="1">
      <alignment/>
      <protection/>
    </xf>
    <xf numFmtId="0" fontId="10" fillId="35" borderId="30" xfId="0" applyFont="1" applyFill="1" applyBorder="1" applyAlignment="1" applyProtection="1">
      <alignment/>
      <protection/>
    </xf>
    <xf numFmtId="0" fontId="2" fillId="0" borderId="27" xfId="0" applyNumberFormat="1" applyFont="1" applyFill="1" applyBorder="1" applyAlignment="1" applyProtection="1">
      <alignment horizontal="center"/>
      <protection locked="0"/>
    </xf>
    <xf numFmtId="0" fontId="10" fillId="35" borderId="31" xfId="0" applyFont="1" applyFill="1" applyBorder="1" applyAlignment="1" applyProtection="1">
      <alignment/>
      <protection/>
    </xf>
    <xf numFmtId="0" fontId="2" fillId="0" borderId="32" xfId="0" applyNumberFormat="1" applyFont="1" applyFill="1" applyBorder="1" applyAlignment="1" applyProtection="1">
      <alignment horizontal="center"/>
      <protection locked="0"/>
    </xf>
    <xf numFmtId="0" fontId="10" fillId="35" borderId="19" xfId="0" applyFont="1" applyFill="1" applyBorder="1" applyAlignment="1" applyProtection="1">
      <alignment/>
      <protection/>
    </xf>
    <xf numFmtId="166" fontId="2" fillId="35" borderId="33" xfId="0" applyNumberFormat="1" applyFont="1" applyFill="1" applyBorder="1" applyAlignment="1" applyProtection="1">
      <alignment horizontal="center"/>
      <protection/>
    </xf>
    <xf numFmtId="0" fontId="50" fillId="35" borderId="14" xfId="0" applyFont="1" applyFill="1" applyBorder="1" applyAlignment="1" applyProtection="1">
      <alignment horizontal="center"/>
      <protection/>
    </xf>
    <xf numFmtId="166" fontId="2" fillId="35" borderId="34" xfId="0" applyNumberFormat="1" applyFont="1" applyFill="1" applyBorder="1" applyAlignment="1" applyProtection="1">
      <alignment horizontal="center"/>
      <protection/>
    </xf>
    <xf numFmtId="0" fontId="2" fillId="35" borderId="16" xfId="0" applyFont="1" applyFill="1" applyBorder="1" applyAlignment="1" applyProtection="1">
      <alignment/>
      <protection/>
    </xf>
    <xf numFmtId="0" fontId="8" fillId="35" borderId="16" xfId="0" applyFont="1" applyFill="1" applyBorder="1" applyAlignment="1" applyProtection="1">
      <alignment/>
      <protection/>
    </xf>
    <xf numFmtId="0" fontId="2" fillId="35" borderId="13" xfId="0" applyFont="1" applyFill="1" applyBorder="1" applyAlignment="1" applyProtection="1">
      <alignment/>
      <protection/>
    </xf>
    <xf numFmtId="0" fontId="8" fillId="35" borderId="13" xfId="0" applyFont="1" applyFill="1" applyBorder="1" applyAlignment="1" applyProtection="1">
      <alignment/>
      <protection/>
    </xf>
    <xf numFmtId="0" fontId="2" fillId="35" borderId="12" xfId="0" applyFont="1" applyFill="1" applyBorder="1" applyAlignment="1" applyProtection="1">
      <alignment/>
      <protection/>
    </xf>
    <xf numFmtId="0" fontId="8" fillId="35" borderId="12" xfId="0" applyFont="1" applyFill="1" applyBorder="1" applyAlignment="1" applyProtection="1">
      <alignment/>
      <protection/>
    </xf>
    <xf numFmtId="0" fontId="2" fillId="35" borderId="32" xfId="0" applyNumberFormat="1" applyFont="1" applyFill="1" applyBorder="1" applyAlignment="1" applyProtection="1">
      <alignment horizontal="center"/>
      <protection/>
    </xf>
    <xf numFmtId="0" fontId="53" fillId="35" borderId="0" xfId="0" applyFont="1" applyFill="1" applyBorder="1" applyAlignment="1" applyProtection="1">
      <alignment horizontal="center"/>
      <protection/>
    </xf>
    <xf numFmtId="166" fontId="54" fillId="35" borderId="33" xfId="0" applyNumberFormat="1" applyFont="1" applyFill="1" applyBorder="1" applyAlignment="1" applyProtection="1">
      <alignment horizontal="center"/>
      <protection/>
    </xf>
    <xf numFmtId="164" fontId="10" fillId="35" borderId="0" xfId="0" applyNumberFormat="1" applyFont="1" applyFill="1" applyBorder="1" applyAlignment="1" applyProtection="1">
      <alignment horizontal="center" vertical="center"/>
      <protection/>
    </xf>
    <xf numFmtId="0" fontId="10" fillId="35" borderId="0" xfId="0" applyFont="1" applyFill="1" applyBorder="1" applyAlignment="1" applyProtection="1">
      <alignment vertical="center"/>
      <protection/>
    </xf>
    <xf numFmtId="0" fontId="10" fillId="35" borderId="0" xfId="0" applyFont="1" applyFill="1" applyBorder="1" applyAlignment="1" applyProtection="1">
      <alignment horizontal="left" vertical="top"/>
      <protection/>
    </xf>
    <xf numFmtId="11" fontId="10" fillId="35" borderId="12" xfId="0" applyNumberFormat="1" applyFont="1" applyFill="1" applyBorder="1" applyAlignment="1" applyProtection="1">
      <alignment horizontal="center" vertical="center"/>
      <protection/>
    </xf>
    <xf numFmtId="0" fontId="7" fillId="35" borderId="14" xfId="0" applyFont="1" applyFill="1" applyBorder="1" applyAlignment="1" applyProtection="1">
      <alignment horizontal="left"/>
      <protection/>
    </xf>
    <xf numFmtId="0" fontId="10" fillId="37" borderId="20" xfId="0" applyFont="1" applyFill="1" applyBorder="1" applyAlignment="1" applyProtection="1">
      <alignment vertical="center"/>
      <protection/>
    </xf>
    <xf numFmtId="0" fontId="7" fillId="37" borderId="35" xfId="0" applyFont="1" applyFill="1" applyBorder="1" applyAlignment="1" applyProtection="1">
      <alignment horizontal="left" vertical="center"/>
      <protection/>
    </xf>
    <xf numFmtId="0" fontId="39" fillId="35" borderId="0" xfId="0" applyFont="1" applyFill="1" applyBorder="1" applyAlignment="1" applyProtection="1">
      <alignment horizontal="left" vertical="center"/>
      <protection/>
    </xf>
    <xf numFmtId="0" fontId="5" fillId="35" borderId="0" xfId="0" applyFont="1" applyFill="1" applyBorder="1" applyAlignment="1" applyProtection="1">
      <alignment vertical="center"/>
      <protection/>
    </xf>
    <xf numFmtId="11" fontId="5" fillId="35" borderId="0" xfId="0" applyNumberFormat="1" applyFont="1" applyFill="1" applyBorder="1" applyAlignment="1" applyProtection="1">
      <alignment vertical="center"/>
      <protection/>
    </xf>
    <xf numFmtId="164" fontId="2" fillId="35" borderId="0" xfId="0" applyNumberFormat="1" applyFont="1" applyFill="1" applyBorder="1" applyAlignment="1" applyProtection="1">
      <alignment horizontal="center" vertical="center"/>
      <protection/>
    </xf>
    <xf numFmtId="0" fontId="2" fillId="37" borderId="36" xfId="0" applyFont="1" applyFill="1" applyBorder="1" applyAlignment="1" applyProtection="1">
      <alignment horizontal="center" vertical="center"/>
      <protection/>
    </xf>
    <xf numFmtId="0" fontId="7" fillId="0" borderId="0" xfId="0" applyFont="1" applyAlignment="1" applyProtection="1">
      <alignment horizontal="left"/>
      <protection/>
    </xf>
    <xf numFmtId="0" fontId="40" fillId="35" borderId="0" xfId="0" applyFont="1" applyFill="1" applyAlignment="1" applyProtection="1">
      <alignment horizontal="left"/>
      <protection/>
    </xf>
    <xf numFmtId="0" fontId="13" fillId="35" borderId="11" xfId="0" applyFont="1" applyFill="1" applyBorder="1" applyAlignment="1" applyProtection="1">
      <alignment horizontal="left"/>
      <protection/>
    </xf>
    <xf numFmtId="0" fontId="7" fillId="0" borderId="0" xfId="0" applyFont="1" applyBorder="1" applyAlignment="1" applyProtection="1">
      <alignment horizontal="left"/>
      <protection/>
    </xf>
    <xf numFmtId="0" fontId="6" fillId="38" borderId="0" xfId="0" applyFont="1" applyFill="1" applyBorder="1" applyAlignment="1" applyProtection="1">
      <alignment horizontal="left"/>
      <protection/>
    </xf>
    <xf numFmtId="0" fontId="7" fillId="38" borderId="0" xfId="0" applyFont="1" applyFill="1" applyBorder="1" applyAlignment="1" applyProtection="1">
      <alignment horizontal="left"/>
      <protection/>
    </xf>
    <xf numFmtId="0" fontId="7" fillId="38" borderId="0" xfId="0" applyFont="1" applyFill="1" applyBorder="1" applyAlignment="1" applyProtection="1">
      <alignment/>
      <protection/>
    </xf>
    <xf numFmtId="0" fontId="7" fillId="38" borderId="10" xfId="0" applyFont="1" applyFill="1" applyBorder="1" applyAlignment="1" applyProtection="1">
      <alignment/>
      <protection/>
    </xf>
    <xf numFmtId="0" fontId="7" fillId="38" borderId="37" xfId="0" applyFont="1" applyFill="1" applyBorder="1" applyAlignment="1" applyProtection="1">
      <alignment/>
      <protection/>
    </xf>
    <xf numFmtId="0" fontId="7" fillId="38" borderId="38" xfId="0" applyFont="1" applyFill="1" applyBorder="1" applyAlignment="1" applyProtection="1">
      <alignment/>
      <protection/>
    </xf>
    <xf numFmtId="0" fontId="7" fillId="38" borderId="14" xfId="0" applyFont="1" applyFill="1" applyBorder="1" applyAlignment="1" applyProtection="1">
      <alignment/>
      <protection/>
    </xf>
    <xf numFmtId="166" fontId="7" fillId="38" borderId="39" xfId="0" applyNumberFormat="1" applyFont="1" applyFill="1" applyBorder="1" applyAlignment="1" applyProtection="1">
      <alignment horizontal="center"/>
      <protection/>
    </xf>
    <xf numFmtId="166" fontId="7" fillId="38" borderId="38" xfId="0" applyNumberFormat="1" applyFont="1" applyFill="1" applyBorder="1" applyAlignment="1" applyProtection="1">
      <alignment horizontal="center"/>
      <protection/>
    </xf>
    <xf numFmtId="166" fontId="7" fillId="38" borderId="40" xfId="0" applyNumberFormat="1" applyFont="1" applyFill="1" applyBorder="1" applyAlignment="1" applyProtection="1">
      <alignment horizontal="center"/>
      <protection/>
    </xf>
    <xf numFmtId="0" fontId="7" fillId="38" borderId="41" xfId="0" applyFont="1" applyFill="1" applyBorder="1" applyAlignment="1" applyProtection="1">
      <alignment/>
      <protection/>
    </xf>
    <xf numFmtId="0" fontId="7" fillId="38" borderId="42" xfId="0" applyFont="1" applyFill="1" applyBorder="1" applyAlignment="1" applyProtection="1">
      <alignment/>
      <protection/>
    </xf>
    <xf numFmtId="166" fontId="7" fillId="38" borderId="21" xfId="0" applyNumberFormat="1" applyFont="1" applyFill="1" applyBorder="1" applyAlignment="1" applyProtection="1">
      <alignment horizontal="center"/>
      <protection/>
    </xf>
    <xf numFmtId="166" fontId="7" fillId="38" borderId="37" xfId="0" applyNumberFormat="1" applyFont="1" applyFill="1" applyBorder="1" applyAlignment="1" applyProtection="1">
      <alignment horizontal="center"/>
      <protection/>
    </xf>
    <xf numFmtId="166" fontId="7" fillId="38" borderId="43" xfId="0" applyNumberFormat="1" applyFont="1" applyFill="1" applyBorder="1" applyAlignment="1" applyProtection="1">
      <alignment horizontal="center"/>
      <protection/>
    </xf>
    <xf numFmtId="0" fontId="7" fillId="39" borderId="0" xfId="0" applyFont="1" applyFill="1" applyBorder="1" applyAlignment="1" applyProtection="1">
      <alignment/>
      <protection/>
    </xf>
    <xf numFmtId="0" fontId="7" fillId="39" borderId="0" xfId="0" applyFont="1" applyFill="1" applyBorder="1" applyAlignment="1" applyProtection="1">
      <alignment horizontal="center"/>
      <protection/>
    </xf>
    <xf numFmtId="0" fontId="7" fillId="39" borderId="41" xfId="0" applyFont="1" applyFill="1" applyBorder="1" applyAlignment="1" applyProtection="1">
      <alignment horizontal="center"/>
      <protection/>
    </xf>
    <xf numFmtId="0" fontId="7" fillId="39" borderId="20" xfId="0" applyFont="1" applyFill="1" applyBorder="1" applyAlignment="1" applyProtection="1">
      <alignment/>
      <protection/>
    </xf>
    <xf numFmtId="0" fontId="7" fillId="39" borderId="14" xfId="0" applyFont="1" applyFill="1" applyBorder="1" applyAlignment="1" applyProtection="1">
      <alignment horizontal="center"/>
      <protection/>
    </xf>
    <xf numFmtId="0" fontId="7" fillId="39" borderId="38" xfId="0" applyFont="1" applyFill="1" applyBorder="1" applyAlignment="1" applyProtection="1">
      <alignment horizontal="center"/>
      <protection/>
    </xf>
    <xf numFmtId="0" fontId="7" fillId="39" borderId="10" xfId="0" applyFont="1" applyFill="1" applyBorder="1" applyAlignment="1" applyProtection="1">
      <alignment/>
      <protection/>
    </xf>
    <xf numFmtId="0" fontId="7" fillId="39" borderId="37" xfId="0" applyFont="1" applyFill="1" applyBorder="1" applyAlignment="1" applyProtection="1">
      <alignment/>
      <protection/>
    </xf>
    <xf numFmtId="0" fontId="7" fillId="39" borderId="41" xfId="0" applyFont="1" applyFill="1" applyBorder="1" applyAlignment="1" applyProtection="1">
      <alignment/>
      <protection/>
    </xf>
    <xf numFmtId="0" fontId="7" fillId="39" borderId="42" xfId="0" applyFont="1" applyFill="1" applyBorder="1" applyAlignment="1" applyProtection="1">
      <alignment/>
      <protection/>
    </xf>
    <xf numFmtId="0" fontId="7" fillId="39" borderId="38" xfId="0" applyFont="1" applyFill="1" applyBorder="1" applyAlignment="1" applyProtection="1">
      <alignment/>
      <protection/>
    </xf>
    <xf numFmtId="0" fontId="7" fillId="39" borderId="14" xfId="0" applyFont="1" applyFill="1" applyBorder="1" applyAlignment="1" applyProtection="1">
      <alignment/>
      <protection/>
    </xf>
    <xf numFmtId="0" fontId="7" fillId="40" borderId="0" xfId="0" applyFont="1" applyFill="1" applyBorder="1" applyAlignment="1" applyProtection="1">
      <alignment/>
      <protection/>
    </xf>
    <xf numFmtId="0" fontId="7" fillId="40" borderId="41" xfId="0" applyFont="1" applyFill="1" applyBorder="1" applyAlignment="1" applyProtection="1">
      <alignment/>
      <protection/>
    </xf>
    <xf numFmtId="0" fontId="7" fillId="40" borderId="13" xfId="0" applyFont="1" applyFill="1" applyBorder="1" applyAlignment="1" applyProtection="1">
      <alignment/>
      <protection/>
    </xf>
    <xf numFmtId="0" fontId="7" fillId="40" borderId="13" xfId="0" applyFont="1" applyFill="1" applyBorder="1" applyAlignment="1" applyProtection="1">
      <alignment horizontal="center"/>
      <protection/>
    </xf>
    <xf numFmtId="0" fontId="7" fillId="40" borderId="44" xfId="0" applyFont="1" applyFill="1" applyBorder="1" applyAlignment="1" applyProtection="1">
      <alignment horizontal="center"/>
      <protection/>
    </xf>
    <xf numFmtId="0" fontId="7" fillId="40" borderId="14" xfId="0" applyFont="1" applyFill="1" applyBorder="1" applyAlignment="1" applyProtection="1">
      <alignment/>
      <protection/>
    </xf>
    <xf numFmtId="0" fontId="7" fillId="40" borderId="14" xfId="0" applyFont="1" applyFill="1" applyBorder="1" applyAlignment="1" applyProtection="1">
      <alignment horizontal="center"/>
      <protection/>
    </xf>
    <xf numFmtId="0" fontId="7" fillId="40" borderId="38" xfId="0" applyFont="1" applyFill="1" applyBorder="1" applyAlignment="1" applyProtection="1">
      <alignment horizontal="center"/>
      <protection/>
    </xf>
    <xf numFmtId="0" fontId="7" fillId="40" borderId="10" xfId="0" applyFont="1" applyFill="1" applyBorder="1" applyAlignment="1" applyProtection="1">
      <alignment/>
      <protection/>
    </xf>
    <xf numFmtId="0" fontId="7" fillId="40" borderId="37" xfId="0" applyFont="1" applyFill="1" applyBorder="1" applyAlignment="1" applyProtection="1">
      <alignment/>
      <protection/>
    </xf>
    <xf numFmtId="0" fontId="7" fillId="40" borderId="37" xfId="0" applyFont="1" applyFill="1" applyBorder="1" applyAlignment="1" applyProtection="1">
      <alignment horizontal="center"/>
      <protection/>
    </xf>
    <xf numFmtId="0" fontId="7" fillId="40" borderId="20" xfId="0" applyFont="1" applyFill="1" applyBorder="1" applyAlignment="1" applyProtection="1">
      <alignment/>
      <protection/>
    </xf>
    <xf numFmtId="0" fontId="7" fillId="40" borderId="38" xfId="0" applyFont="1" applyFill="1" applyBorder="1" applyAlignment="1" applyProtection="1">
      <alignment/>
      <protection/>
    </xf>
    <xf numFmtId="0" fontId="7" fillId="38" borderId="20" xfId="0" applyFont="1" applyFill="1" applyBorder="1" applyAlignment="1" applyProtection="1">
      <alignment/>
      <protection/>
    </xf>
    <xf numFmtId="0" fontId="19" fillId="38" borderId="45" xfId="0" applyFont="1" applyFill="1" applyBorder="1" applyAlignment="1" applyProtection="1">
      <alignment horizontal="center" wrapText="1"/>
      <protection/>
    </xf>
    <xf numFmtId="0" fontId="19" fillId="38" borderId="38" xfId="0" applyFont="1" applyFill="1" applyBorder="1" applyAlignment="1" applyProtection="1">
      <alignment horizontal="center" wrapText="1"/>
      <protection/>
    </xf>
    <xf numFmtId="0" fontId="19" fillId="38" borderId="34" xfId="0" applyFont="1" applyFill="1" applyBorder="1" applyAlignment="1" applyProtection="1">
      <alignment horizontal="center" wrapText="1"/>
      <protection/>
    </xf>
    <xf numFmtId="0" fontId="10" fillId="37" borderId="46" xfId="0" applyFont="1" applyFill="1" applyBorder="1" applyAlignment="1" applyProtection="1">
      <alignment/>
      <protection/>
    </xf>
    <xf numFmtId="0" fontId="5" fillId="37" borderId="10" xfId="0" applyFont="1" applyFill="1" applyBorder="1" applyAlignment="1" applyProtection="1">
      <alignment/>
      <protection/>
    </xf>
    <xf numFmtId="11" fontId="5" fillId="37" borderId="10" xfId="0" applyNumberFormat="1" applyFont="1" applyFill="1" applyBorder="1" applyAlignment="1" applyProtection="1">
      <alignment/>
      <protection/>
    </xf>
    <xf numFmtId="0" fontId="10" fillId="37" borderId="21" xfId="0" applyNumberFormat="1" applyFont="1" applyFill="1" applyBorder="1" applyAlignment="1" applyProtection="1">
      <alignment horizontal="center"/>
      <protection/>
    </xf>
    <xf numFmtId="0" fontId="7" fillId="37" borderId="10" xfId="0" applyFont="1" applyFill="1" applyBorder="1" applyAlignment="1" applyProtection="1">
      <alignment horizontal="left"/>
      <protection/>
    </xf>
    <xf numFmtId="0" fontId="13" fillId="37" borderId="10" xfId="0" applyFont="1" applyFill="1" applyBorder="1" applyAlignment="1" applyProtection="1">
      <alignment horizontal="left"/>
      <protection/>
    </xf>
    <xf numFmtId="0" fontId="9" fillId="35" borderId="0" xfId="0" applyFont="1" applyFill="1" applyAlignment="1" applyProtection="1">
      <alignment horizontal="left"/>
      <protection/>
    </xf>
    <xf numFmtId="0" fontId="10" fillId="37" borderId="47" xfId="0" applyFont="1" applyFill="1" applyBorder="1" applyAlignment="1" applyProtection="1">
      <alignment horizontal="center" vertical="center"/>
      <protection/>
    </xf>
    <xf numFmtId="0" fontId="10" fillId="37" borderId="48" xfId="0" applyFont="1" applyFill="1" applyBorder="1" applyAlignment="1" applyProtection="1">
      <alignment horizontal="center"/>
      <protection/>
    </xf>
    <xf numFmtId="0" fontId="10" fillId="37" borderId="34" xfId="0" applyFont="1" applyFill="1" applyBorder="1" applyAlignment="1" applyProtection="1">
      <alignment horizontal="center" vertical="center"/>
      <protection/>
    </xf>
    <xf numFmtId="0" fontId="10" fillId="35" borderId="10" xfId="0" applyFont="1" applyFill="1" applyBorder="1" applyAlignment="1" applyProtection="1">
      <alignment horizontal="center"/>
      <protection/>
    </xf>
    <xf numFmtId="14" fontId="14" fillId="35" borderId="0" xfId="0" applyNumberFormat="1" applyFont="1" applyFill="1" applyAlignment="1" applyProtection="1">
      <alignment/>
      <protection/>
    </xf>
    <xf numFmtId="14" fontId="14" fillId="35" borderId="10" xfId="0" applyNumberFormat="1" applyFont="1" applyFill="1" applyBorder="1" applyAlignment="1" applyProtection="1">
      <alignment/>
      <protection/>
    </xf>
    <xf numFmtId="14" fontId="54" fillId="35" borderId="0" xfId="0" applyNumberFormat="1" applyFont="1" applyFill="1" applyBorder="1" applyAlignment="1" applyProtection="1">
      <alignment horizontal="left"/>
      <protection/>
    </xf>
    <xf numFmtId="14" fontId="54" fillId="35" borderId="10" xfId="0" applyNumberFormat="1" applyFont="1" applyFill="1" applyBorder="1" applyAlignment="1" applyProtection="1">
      <alignment horizontal="left"/>
      <protection/>
    </xf>
    <xf numFmtId="0" fontId="10" fillId="35" borderId="28" xfId="0" applyFont="1" applyFill="1" applyBorder="1" applyAlignment="1" applyProtection="1">
      <alignment/>
      <protection/>
    </xf>
    <xf numFmtId="0" fontId="10" fillId="35" borderId="29" xfId="0" applyFont="1" applyFill="1" applyBorder="1" applyAlignment="1" applyProtection="1">
      <alignment/>
      <protection/>
    </xf>
    <xf numFmtId="0" fontId="10" fillId="35" borderId="30" xfId="0" applyFont="1" applyFill="1" applyBorder="1" applyAlignment="1" applyProtection="1">
      <alignment/>
      <protection/>
    </xf>
    <xf numFmtId="166" fontId="10" fillId="37" borderId="21" xfId="0" applyNumberFormat="1" applyFont="1" applyFill="1" applyBorder="1" applyAlignment="1" applyProtection="1">
      <alignment horizontal="center"/>
      <protection/>
    </xf>
    <xf numFmtId="0" fontId="7" fillId="37" borderId="10" xfId="0" applyFont="1" applyFill="1" applyBorder="1" applyAlignment="1" applyProtection="1">
      <alignment/>
      <protection/>
    </xf>
    <xf numFmtId="0" fontId="10" fillId="37" borderId="46" xfId="0" applyFont="1" applyFill="1" applyBorder="1" applyAlignment="1" applyProtection="1">
      <alignment vertical="center"/>
      <protection/>
    </xf>
    <xf numFmtId="0" fontId="5" fillId="37" borderId="10" xfId="0" applyFont="1" applyFill="1" applyBorder="1" applyAlignment="1" applyProtection="1">
      <alignment vertical="center"/>
      <protection/>
    </xf>
    <xf numFmtId="11" fontId="5" fillId="37" borderId="10" xfId="0" applyNumberFormat="1" applyFont="1" applyFill="1" applyBorder="1" applyAlignment="1" applyProtection="1">
      <alignment vertical="center"/>
      <protection/>
    </xf>
    <xf numFmtId="166" fontId="10" fillId="37" borderId="21" xfId="0" applyNumberFormat="1" applyFont="1" applyFill="1" applyBorder="1" applyAlignment="1" applyProtection="1">
      <alignment horizontal="center" vertical="center"/>
      <protection/>
    </xf>
    <xf numFmtId="0" fontId="7" fillId="37" borderId="10" xfId="0" applyFont="1" applyFill="1" applyBorder="1" applyAlignment="1" applyProtection="1">
      <alignment horizontal="left" vertical="center"/>
      <protection/>
    </xf>
    <xf numFmtId="0" fontId="13" fillId="37" borderId="10" xfId="0" applyFont="1" applyFill="1" applyBorder="1" applyAlignment="1" applyProtection="1">
      <alignment horizontal="left" vertical="center"/>
      <protection/>
    </xf>
    <xf numFmtId="0" fontId="10" fillId="37" borderId="48" xfId="0" applyFont="1" applyFill="1" applyBorder="1" applyAlignment="1" applyProtection="1">
      <alignment horizontal="center" vertical="center"/>
      <protection/>
    </xf>
    <xf numFmtId="0" fontId="10" fillId="37" borderId="19" xfId="0" applyFont="1" applyFill="1" applyBorder="1" applyAlignment="1" applyProtection="1">
      <alignment vertical="center"/>
      <protection/>
    </xf>
    <xf numFmtId="0" fontId="5" fillId="37" borderId="0" xfId="0" applyFont="1" applyFill="1" applyBorder="1" applyAlignment="1" applyProtection="1">
      <alignment vertical="center"/>
      <protection/>
    </xf>
    <xf numFmtId="11" fontId="5" fillId="37" borderId="0" xfId="0" applyNumberFormat="1" applyFont="1" applyFill="1" applyBorder="1" applyAlignment="1" applyProtection="1">
      <alignment vertical="center"/>
      <protection/>
    </xf>
    <xf numFmtId="0" fontId="10" fillId="37" borderId="49" xfId="0" applyNumberFormat="1" applyFont="1" applyFill="1" applyBorder="1" applyAlignment="1" applyProtection="1">
      <alignment horizontal="center" vertical="center"/>
      <protection/>
    </xf>
    <xf numFmtId="0" fontId="7" fillId="37" borderId="0" xfId="0" applyFont="1" applyFill="1" applyBorder="1" applyAlignment="1" applyProtection="1">
      <alignment horizontal="left" vertical="center"/>
      <protection/>
    </xf>
    <xf numFmtId="0" fontId="13" fillId="37" borderId="0" xfId="0" applyFont="1" applyFill="1" applyBorder="1" applyAlignment="1" applyProtection="1">
      <alignment horizontal="left" vertical="center"/>
      <protection/>
    </xf>
    <xf numFmtId="0" fontId="10" fillId="37" borderId="33" xfId="0" applyFont="1" applyFill="1" applyBorder="1" applyAlignment="1" applyProtection="1">
      <alignment horizontal="center" vertical="center"/>
      <protection/>
    </xf>
    <xf numFmtId="0" fontId="5" fillId="37" borderId="50" xfId="0" applyFont="1" applyFill="1" applyBorder="1" applyAlignment="1" applyProtection="1">
      <alignment vertical="center"/>
      <protection/>
    </xf>
    <xf numFmtId="11" fontId="5" fillId="37" borderId="50" xfId="0" applyNumberFormat="1" applyFont="1" applyFill="1" applyBorder="1" applyAlignment="1" applyProtection="1">
      <alignment vertical="center"/>
      <protection/>
    </xf>
    <xf numFmtId="166" fontId="10" fillId="37" borderId="50" xfId="0" applyNumberFormat="1" applyFont="1" applyFill="1" applyBorder="1" applyAlignment="1" applyProtection="1">
      <alignment horizontal="center" vertical="center"/>
      <protection/>
    </xf>
    <xf numFmtId="0" fontId="7" fillId="37" borderId="50" xfId="0" applyFont="1" applyFill="1" applyBorder="1" applyAlignment="1" applyProtection="1">
      <alignment horizontal="left" vertical="center"/>
      <protection/>
    </xf>
    <xf numFmtId="0" fontId="13" fillId="37" borderId="50" xfId="0" applyFont="1" applyFill="1" applyBorder="1" applyAlignment="1" applyProtection="1">
      <alignment horizontal="left" vertical="center"/>
      <protection/>
    </xf>
    <xf numFmtId="0" fontId="10" fillId="37" borderId="51" xfId="0" applyFont="1" applyFill="1" applyBorder="1" applyAlignment="1" applyProtection="1">
      <alignment horizontal="center" vertical="center"/>
      <protection/>
    </xf>
    <xf numFmtId="0" fontId="6" fillId="38" borderId="17" xfId="0" applyFont="1" applyFill="1" applyBorder="1" applyAlignment="1" applyProtection="1">
      <alignment horizontal="left"/>
      <protection/>
    </xf>
    <xf numFmtId="0" fontId="7" fillId="38" borderId="17" xfId="0" applyFont="1" applyFill="1" applyBorder="1" applyAlignment="1" applyProtection="1">
      <alignment horizontal="left"/>
      <protection/>
    </xf>
    <xf numFmtId="0" fontId="7" fillId="38" borderId="17" xfId="0" applyFont="1" applyFill="1" applyBorder="1" applyAlignment="1" applyProtection="1">
      <alignment/>
      <protection/>
    </xf>
    <xf numFmtId="0" fontId="7" fillId="38" borderId="52" xfId="0" applyFont="1" applyFill="1" applyBorder="1" applyAlignment="1" applyProtection="1">
      <alignment/>
      <protection/>
    </xf>
    <xf numFmtId="0" fontId="7" fillId="38" borderId="11" xfId="0" applyFont="1" applyFill="1" applyBorder="1" applyAlignment="1" applyProtection="1">
      <alignment/>
      <protection/>
    </xf>
    <xf numFmtId="0" fontId="7" fillId="38" borderId="53" xfId="0" applyFont="1" applyFill="1" applyBorder="1" applyAlignment="1" applyProtection="1">
      <alignment/>
      <protection/>
    </xf>
    <xf numFmtId="166" fontId="7" fillId="38" borderId="54" xfId="0" applyNumberFormat="1" applyFont="1" applyFill="1" applyBorder="1" applyAlignment="1" applyProtection="1">
      <alignment horizontal="center"/>
      <protection/>
    </xf>
    <xf numFmtId="166" fontId="7" fillId="38" borderId="52" xfId="0" applyNumberFormat="1" applyFont="1" applyFill="1" applyBorder="1" applyAlignment="1" applyProtection="1">
      <alignment horizontal="center"/>
      <protection/>
    </xf>
    <xf numFmtId="166" fontId="7" fillId="38" borderId="55" xfId="0" applyNumberFormat="1" applyFont="1" applyFill="1" applyBorder="1" applyAlignment="1" applyProtection="1">
      <alignment horizontal="center"/>
      <protection/>
    </xf>
    <xf numFmtId="0" fontId="7" fillId="40" borderId="53" xfId="0" applyFont="1" applyFill="1" applyBorder="1" applyAlignment="1" applyProtection="1">
      <alignment/>
      <protection/>
    </xf>
    <xf numFmtId="0" fontId="7" fillId="40" borderId="53" xfId="0" applyFont="1" applyFill="1" applyBorder="1" applyAlignment="1" applyProtection="1">
      <alignment horizontal="center"/>
      <protection/>
    </xf>
    <xf numFmtId="0" fontId="7" fillId="40" borderId="52" xfId="0" applyFont="1" applyFill="1" applyBorder="1" applyAlignment="1" applyProtection="1">
      <alignment horizontal="center"/>
      <protection/>
    </xf>
    <xf numFmtId="0" fontId="10" fillId="37" borderId="56" xfId="0" applyFont="1" applyFill="1" applyBorder="1" applyAlignment="1" applyProtection="1">
      <alignment vertical="center"/>
      <protection/>
    </xf>
    <xf numFmtId="0" fontId="7" fillId="38" borderId="42" xfId="0" applyFont="1" applyFill="1" applyBorder="1" applyAlignment="1" applyProtection="1">
      <alignment horizontal="left"/>
      <protection/>
    </xf>
    <xf numFmtId="0" fontId="7" fillId="38" borderId="57" xfId="0" applyFont="1" applyFill="1" applyBorder="1" applyAlignment="1" applyProtection="1">
      <alignment horizontal="left"/>
      <protection/>
    </xf>
    <xf numFmtId="11" fontId="11" fillId="0" borderId="58" xfId="0" applyNumberFormat="1" applyFont="1" applyFill="1" applyBorder="1" applyAlignment="1" applyProtection="1">
      <alignment horizontal="center" vertical="center"/>
      <protection locked="0"/>
    </xf>
    <xf numFmtId="0" fontId="63" fillId="35" borderId="0" xfId="0" applyFont="1" applyFill="1" applyBorder="1" applyAlignment="1" applyProtection="1">
      <alignment horizontal="center"/>
      <protection/>
    </xf>
    <xf numFmtId="173" fontId="10" fillId="37" borderId="39" xfId="0" applyNumberFormat="1" applyFont="1" applyFill="1" applyBorder="1" applyAlignment="1" applyProtection="1">
      <alignment horizontal="center" vertical="center"/>
      <protection/>
    </xf>
    <xf numFmtId="0" fontId="7" fillId="35" borderId="59" xfId="0" applyFont="1" applyFill="1" applyBorder="1" applyAlignment="1" applyProtection="1">
      <alignment/>
      <protection/>
    </xf>
    <xf numFmtId="0" fontId="13" fillId="35" borderId="59" xfId="0" applyFont="1" applyFill="1" applyBorder="1" applyAlignment="1" applyProtection="1">
      <alignment horizontal="right"/>
      <protection/>
    </xf>
    <xf numFmtId="0" fontId="10" fillId="35" borderId="59" xfId="0" applyFont="1" applyFill="1" applyBorder="1" applyAlignment="1" applyProtection="1">
      <alignment vertical="center"/>
      <protection/>
    </xf>
    <xf numFmtId="11" fontId="12" fillId="35" borderId="59" xfId="0" applyNumberFormat="1" applyFont="1" applyFill="1" applyBorder="1" applyAlignment="1" applyProtection="1">
      <alignment horizontal="center"/>
      <protection/>
    </xf>
    <xf numFmtId="0" fontId="10" fillId="0" borderId="60" xfId="0" applyNumberFormat="1" applyFont="1" applyFill="1" applyBorder="1" applyAlignment="1" applyProtection="1">
      <alignment horizontal="center"/>
      <protection locked="0"/>
    </xf>
    <xf numFmtId="0" fontId="7" fillId="35" borderId="59" xfId="0" applyFont="1" applyFill="1" applyBorder="1" applyAlignment="1" applyProtection="1">
      <alignment horizontal="left"/>
      <protection/>
    </xf>
    <xf numFmtId="0" fontId="55" fillId="35" borderId="0" xfId="0" applyFont="1" applyFill="1" applyBorder="1" applyAlignment="1" applyProtection="1">
      <alignment/>
      <protection/>
    </xf>
    <xf numFmtId="0" fontId="11" fillId="0" borderId="18" xfId="0" applyFont="1" applyFill="1" applyBorder="1" applyAlignment="1" applyProtection="1">
      <alignment horizontal="left"/>
      <protection locked="0"/>
    </xf>
    <xf numFmtId="0" fontId="64" fillId="35" borderId="0" xfId="0" applyFont="1" applyFill="1" applyBorder="1" applyAlignment="1" applyProtection="1">
      <alignment/>
      <protection/>
    </xf>
    <xf numFmtId="0" fontId="7" fillId="0" borderId="0" xfId="0" applyFont="1" applyFill="1" applyAlignment="1" applyProtection="1">
      <alignment/>
      <protection/>
    </xf>
    <xf numFmtId="0" fontId="2" fillId="0" borderId="0" xfId="0" applyFont="1" applyFill="1" applyAlignment="1" applyProtection="1">
      <alignment/>
      <protection/>
    </xf>
    <xf numFmtId="0" fontId="10" fillId="0" borderId="0" xfId="0" applyFont="1" applyFill="1" applyAlignment="1" applyProtection="1">
      <alignment/>
      <protection/>
    </xf>
    <xf numFmtId="0" fontId="7" fillId="0" borderId="0" xfId="0" applyFont="1" applyFill="1" applyAlignment="1" applyProtection="1">
      <alignment vertical="center"/>
      <protection/>
    </xf>
    <xf numFmtId="0" fontId="7" fillId="0" borderId="0" xfId="0" applyFont="1" applyFill="1" applyAlignment="1" applyProtection="1">
      <alignment vertical="center"/>
      <protection locked="0"/>
    </xf>
    <xf numFmtId="0" fontId="7" fillId="0" borderId="0" xfId="0" applyFont="1" applyFill="1" applyAlignment="1" applyProtection="1">
      <alignment/>
      <protection locked="0"/>
    </xf>
    <xf numFmtId="0" fontId="10" fillId="0" borderId="0" xfId="0" applyFont="1" applyFill="1" applyBorder="1" applyAlignment="1" applyProtection="1">
      <alignment horizontal="center"/>
      <protection/>
    </xf>
    <xf numFmtId="0" fontId="8"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8" fillId="0" borderId="0" xfId="0" applyFont="1" applyFill="1" applyBorder="1" applyAlignment="1" applyProtection="1">
      <alignment horizontal="center"/>
      <protection/>
    </xf>
    <xf numFmtId="0" fontId="11"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left"/>
      <protection/>
    </xf>
    <xf numFmtId="0" fontId="6" fillId="41" borderId="61" xfId="0" applyFont="1" applyFill="1" applyBorder="1" applyAlignment="1" applyProtection="1">
      <alignment horizontal="right"/>
      <protection/>
    </xf>
    <xf numFmtId="0" fontId="6" fillId="41" borderId="62" xfId="0" applyFont="1" applyFill="1" applyBorder="1" applyAlignment="1" applyProtection="1">
      <alignment horizontal="left"/>
      <protection/>
    </xf>
    <xf numFmtId="0" fontId="7" fillId="41" borderId="62" xfId="0" applyFont="1" applyFill="1" applyBorder="1" applyAlignment="1" applyProtection="1">
      <alignment horizontal="left"/>
      <protection/>
    </xf>
    <xf numFmtId="0" fontId="7" fillId="41" borderId="62" xfId="0" applyFont="1" applyFill="1" applyBorder="1" applyAlignment="1" applyProtection="1">
      <alignment/>
      <protection/>
    </xf>
    <xf numFmtId="0" fontId="7" fillId="41" borderId="63" xfId="0" applyFont="1" applyFill="1" applyBorder="1" applyAlignment="1" applyProtection="1">
      <alignment horizontal="center"/>
      <protection/>
    </xf>
    <xf numFmtId="0" fontId="0" fillId="0" borderId="0" xfId="0" applyFill="1" applyAlignment="1">
      <alignment/>
    </xf>
    <xf numFmtId="0" fontId="19" fillId="39" borderId="10" xfId="0" applyFont="1" applyFill="1" applyBorder="1" applyAlignment="1" applyProtection="1">
      <alignment/>
      <protection/>
    </xf>
    <xf numFmtId="0" fontId="19" fillId="39" borderId="64" xfId="0" applyFont="1" applyFill="1" applyBorder="1" applyAlignment="1" applyProtection="1">
      <alignment/>
      <protection/>
    </xf>
    <xf numFmtId="0" fontId="2" fillId="0" borderId="0" xfId="0" applyFont="1" applyAlignment="1" applyProtection="1">
      <alignment/>
      <protection/>
    </xf>
    <xf numFmtId="0" fontId="10" fillId="0" borderId="0" xfId="0" applyFont="1" applyAlignment="1" applyProtection="1">
      <alignment/>
      <protection/>
    </xf>
    <xf numFmtId="0" fontId="10" fillId="0" borderId="22" xfId="0" applyNumberFormat="1" applyFont="1" applyFill="1" applyBorder="1" applyAlignment="1" applyProtection="1">
      <alignment horizontal="center"/>
      <protection/>
    </xf>
    <xf numFmtId="0" fontId="10" fillId="35" borderId="13" xfId="0" applyNumberFormat="1" applyFont="1" applyFill="1" applyBorder="1" applyAlignment="1" applyProtection="1">
      <alignment horizontal="center"/>
      <protection/>
    </xf>
    <xf numFmtId="0" fontId="10" fillId="35" borderId="12" xfId="0" applyNumberFormat="1" applyFont="1" applyFill="1" applyBorder="1" applyAlignment="1" applyProtection="1">
      <alignment horizontal="center"/>
      <protection/>
    </xf>
    <xf numFmtId="0" fontId="7" fillId="0" borderId="0" xfId="0" applyFont="1" applyAlignment="1" applyProtection="1">
      <alignment vertical="center"/>
      <protection/>
    </xf>
    <xf numFmtId="0" fontId="10" fillId="35" borderId="22" xfId="0" applyNumberFormat="1" applyFont="1" applyFill="1" applyBorder="1" applyAlignment="1" applyProtection="1">
      <alignment horizontal="center" vertical="center"/>
      <protection/>
    </xf>
    <xf numFmtId="0" fontId="10" fillId="35" borderId="13" xfId="0" applyNumberFormat="1" applyFont="1" applyFill="1" applyBorder="1" applyAlignment="1" applyProtection="1">
      <alignment horizontal="center" vertical="center"/>
      <protection/>
    </xf>
    <xf numFmtId="0" fontId="0" fillId="35" borderId="0" xfId="0" applyFill="1" applyAlignment="1" applyProtection="1">
      <alignment vertical="center"/>
      <protection/>
    </xf>
    <xf numFmtId="0" fontId="60" fillId="35" borderId="59" xfId="0" applyFont="1" applyFill="1" applyBorder="1" applyAlignment="1" applyProtection="1">
      <alignment vertical="center"/>
      <protection/>
    </xf>
    <xf numFmtId="166" fontId="10" fillId="37" borderId="45" xfId="0" applyNumberFormat="1" applyFont="1" applyFill="1" applyBorder="1" applyAlignment="1" applyProtection="1">
      <alignment horizontal="center" vertical="center"/>
      <protection/>
    </xf>
    <xf numFmtId="0" fontId="49" fillId="37" borderId="15" xfId="0" applyFont="1" applyFill="1" applyBorder="1" applyAlignment="1" applyProtection="1">
      <alignment horizontal="left" vertical="center"/>
      <protection/>
    </xf>
    <xf numFmtId="0" fontId="10" fillId="37" borderId="65" xfId="0" applyFont="1" applyFill="1" applyBorder="1" applyAlignment="1" applyProtection="1">
      <alignment horizontal="center" vertical="center"/>
      <protection/>
    </xf>
    <xf numFmtId="0" fontId="0" fillId="35" borderId="0" xfId="0" applyFont="1" applyFill="1" applyBorder="1" applyAlignment="1" applyProtection="1">
      <alignment vertical="center" wrapText="1"/>
      <protection/>
    </xf>
    <xf numFmtId="14" fontId="14" fillId="36" borderId="0" xfId="0" applyNumberFormat="1" applyFont="1" applyFill="1" applyBorder="1" applyAlignment="1" applyProtection="1">
      <alignment horizontal="left"/>
      <protection locked="0"/>
    </xf>
    <xf numFmtId="0" fontId="15" fillId="36" borderId="0" xfId="0" applyFont="1" applyFill="1" applyBorder="1" applyAlignment="1" applyProtection="1">
      <alignment horizontal="center"/>
      <protection locked="0"/>
    </xf>
    <xf numFmtId="0" fontId="14" fillId="36" borderId="0" xfId="0" applyFont="1" applyFill="1" applyBorder="1" applyAlignment="1" applyProtection="1">
      <alignment horizontal="left"/>
      <protection locked="0"/>
    </xf>
    <xf numFmtId="0" fontId="14" fillId="36" borderId="10" xfId="0" applyFont="1" applyFill="1" applyBorder="1" applyAlignment="1" applyProtection="1">
      <alignment horizontal="left"/>
      <protection locked="0"/>
    </xf>
    <xf numFmtId="0" fontId="15" fillId="36" borderId="10" xfId="0" applyFont="1" applyFill="1" applyBorder="1" applyAlignment="1" applyProtection="1">
      <alignment horizontal="center"/>
      <protection locked="0"/>
    </xf>
    <xf numFmtId="0" fontId="7" fillId="0" borderId="44" xfId="0" applyFont="1" applyFill="1" applyBorder="1" applyAlignment="1" applyProtection="1">
      <alignment horizontal="left"/>
      <protection locked="0"/>
    </xf>
    <xf numFmtId="0" fontId="2" fillId="35" borderId="62" xfId="0" applyFont="1" applyFill="1" applyBorder="1" applyAlignment="1" applyProtection="1">
      <alignment/>
      <protection/>
    </xf>
    <xf numFmtId="0" fontId="2" fillId="35" borderId="66" xfId="0" applyFont="1" applyFill="1" applyBorder="1" applyAlignment="1" applyProtection="1">
      <alignment horizontal="center"/>
      <protection/>
    </xf>
    <xf numFmtId="166" fontId="7" fillId="0" borderId="0" xfId="0" applyNumberFormat="1" applyFont="1" applyFill="1" applyAlignment="1" applyProtection="1">
      <alignment/>
      <protection/>
    </xf>
    <xf numFmtId="166" fontId="7" fillId="35" borderId="0" xfId="0" applyNumberFormat="1" applyFont="1" applyFill="1" applyAlignment="1" applyProtection="1">
      <alignment/>
      <protection/>
    </xf>
    <xf numFmtId="11" fontId="7" fillId="0" borderId="0" xfId="0" applyNumberFormat="1" applyFont="1" applyFill="1" applyBorder="1" applyAlignment="1" applyProtection="1">
      <alignment horizontal="center"/>
      <protection/>
    </xf>
    <xf numFmtId="0" fontId="51" fillId="35" borderId="62" xfId="0" applyFont="1" applyFill="1" applyBorder="1" applyAlignment="1" applyProtection="1">
      <alignment vertical="center"/>
      <protection/>
    </xf>
    <xf numFmtId="0" fontId="2" fillId="35" borderId="66" xfId="0" applyFont="1" applyFill="1" applyBorder="1" applyAlignment="1" applyProtection="1">
      <alignment horizontal="center" vertical="center"/>
      <protection/>
    </xf>
    <xf numFmtId="166" fontId="41" fillId="35" borderId="10" xfId="0" applyNumberFormat="1" applyFont="1" applyFill="1" applyBorder="1" applyAlignment="1" applyProtection="1">
      <alignment horizontal="center"/>
      <protection/>
    </xf>
    <xf numFmtId="166" fontId="41" fillId="42" borderId="12" xfId="0" applyNumberFormat="1" applyFont="1" applyFill="1" applyBorder="1" applyAlignment="1" applyProtection="1">
      <alignment horizontal="center" vertical="center"/>
      <protection/>
    </xf>
    <xf numFmtId="0" fontId="37" fillId="33" borderId="0" xfId="0" applyFont="1" applyFill="1" applyAlignment="1">
      <alignment horizontal="center"/>
    </xf>
    <xf numFmtId="0" fontId="38" fillId="0" borderId="0" xfId="0" applyFont="1" applyAlignment="1">
      <alignment horizontal="center"/>
    </xf>
    <xf numFmtId="0" fontId="30" fillId="0" borderId="0" xfId="0" applyFont="1" applyAlignment="1">
      <alignment horizontal="center"/>
    </xf>
    <xf numFmtId="0" fontId="67" fillId="35" borderId="0" xfId="0" applyFont="1" applyFill="1" applyBorder="1" applyAlignment="1" applyProtection="1">
      <alignment horizontal="left" wrapText="1"/>
      <protection/>
    </xf>
    <xf numFmtId="0" fontId="123" fillId="35" borderId="0" xfId="0" applyFont="1" applyFill="1" applyBorder="1" applyAlignment="1" applyProtection="1">
      <alignment horizontal="left" wrapText="1"/>
      <protection/>
    </xf>
    <xf numFmtId="0" fontId="41" fillId="35" borderId="67" xfId="0" applyFont="1" applyFill="1" applyBorder="1" applyAlignment="1" applyProtection="1">
      <alignment horizontal="left" vertical="center" wrapText="1"/>
      <protection/>
    </xf>
    <xf numFmtId="0" fontId="41" fillId="35" borderId="12" xfId="0" applyFont="1" applyFill="1" applyBorder="1" applyAlignment="1" applyProtection="1">
      <alignment horizontal="left" vertical="center" wrapText="1"/>
      <protection/>
    </xf>
    <xf numFmtId="0" fontId="41" fillId="35" borderId="42" xfId="0" applyFont="1" applyFill="1" applyBorder="1" applyAlignment="1" applyProtection="1">
      <alignment horizontal="left" vertical="center" wrapText="1"/>
      <protection/>
    </xf>
    <xf numFmtId="0" fontId="41" fillId="35" borderId="10" xfId="0" applyFont="1" applyFill="1" applyBorder="1" applyAlignment="1" applyProtection="1">
      <alignment horizontal="left" vertical="center" wrapText="1"/>
      <protection/>
    </xf>
    <xf numFmtId="0" fontId="19" fillId="40" borderId="64" xfId="0" applyFont="1" applyFill="1" applyBorder="1" applyAlignment="1" applyProtection="1">
      <alignment horizontal="left" vertical="center"/>
      <protection/>
    </xf>
    <xf numFmtId="0" fontId="19" fillId="40" borderId="34" xfId="0" applyFont="1" applyFill="1" applyBorder="1" applyAlignment="1" applyProtection="1">
      <alignment horizontal="left" vertical="center"/>
      <protection/>
    </xf>
    <xf numFmtId="0" fontId="15" fillId="39" borderId="0" xfId="0" applyFont="1" applyFill="1" applyBorder="1" applyAlignment="1" applyProtection="1">
      <alignment horizontal="center" vertical="center" wrapText="1"/>
      <protection/>
    </xf>
    <xf numFmtId="0" fontId="15" fillId="39" borderId="33" xfId="0" applyFont="1" applyFill="1" applyBorder="1" applyAlignment="1" applyProtection="1">
      <alignment horizontal="center" vertical="center" wrapText="1"/>
      <protection/>
    </xf>
    <xf numFmtId="166" fontId="7" fillId="40" borderId="18" xfId="0" applyNumberFormat="1" applyFont="1" applyFill="1" applyBorder="1" applyAlignment="1" applyProtection="1">
      <alignment horizontal="center" wrapText="1"/>
      <protection/>
    </xf>
    <xf numFmtId="0" fontId="0" fillId="40" borderId="44" xfId="0" applyFill="1" applyBorder="1" applyAlignment="1" applyProtection="1">
      <alignment horizontal="center" wrapText="1"/>
      <protection/>
    </xf>
    <xf numFmtId="166" fontId="7" fillId="40" borderId="68" xfId="0" applyNumberFormat="1" applyFont="1" applyFill="1" applyBorder="1" applyAlignment="1" applyProtection="1">
      <alignment horizontal="center" wrapText="1"/>
      <protection/>
    </xf>
    <xf numFmtId="0" fontId="0" fillId="40" borderId="69" xfId="0" applyFill="1" applyBorder="1" applyAlignment="1" applyProtection="1">
      <alignment horizontal="center" wrapText="1"/>
      <protection/>
    </xf>
    <xf numFmtId="0" fontId="0" fillId="40" borderId="70" xfId="0" applyFill="1" applyBorder="1" applyAlignment="1" applyProtection="1">
      <alignment wrapText="1"/>
      <protection/>
    </xf>
    <xf numFmtId="0" fontId="0" fillId="40" borderId="65" xfId="0" applyFill="1" applyBorder="1" applyAlignment="1" applyProtection="1">
      <alignment horizontal="center" wrapText="1"/>
      <protection/>
    </xf>
    <xf numFmtId="166" fontId="7" fillId="40" borderId="71" xfId="0" applyNumberFormat="1" applyFont="1" applyFill="1" applyBorder="1" applyAlignment="1" applyProtection="1">
      <alignment horizontal="center" vertical="center"/>
      <protection/>
    </xf>
    <xf numFmtId="0" fontId="0" fillId="40" borderId="11" xfId="0" applyFill="1" applyBorder="1" applyAlignment="1" applyProtection="1">
      <alignment horizontal="center" vertical="center"/>
      <protection/>
    </xf>
    <xf numFmtId="0" fontId="0" fillId="40" borderId="72" xfId="0" applyFill="1" applyBorder="1" applyAlignment="1" applyProtection="1">
      <alignment horizontal="center" vertical="center"/>
      <protection/>
    </xf>
    <xf numFmtId="166" fontId="7" fillId="40" borderId="73" xfId="0" applyNumberFormat="1" applyFont="1" applyFill="1" applyBorder="1" applyAlignment="1" applyProtection="1">
      <alignment horizontal="center" vertical="center"/>
      <protection/>
    </xf>
    <xf numFmtId="0" fontId="0" fillId="40" borderId="74" xfId="0" applyFill="1" applyBorder="1" applyAlignment="1" applyProtection="1">
      <alignment vertical="center"/>
      <protection/>
    </xf>
    <xf numFmtId="0" fontId="0" fillId="40" borderId="75" xfId="0" applyFill="1" applyBorder="1" applyAlignment="1" applyProtection="1">
      <alignment vertical="center"/>
      <protection/>
    </xf>
    <xf numFmtId="166" fontId="7" fillId="40" borderId="73" xfId="0" applyNumberFormat="1" applyFont="1" applyFill="1" applyBorder="1" applyAlignment="1" applyProtection="1">
      <alignment horizontal="center" vertical="center" wrapText="1"/>
      <protection/>
    </xf>
    <xf numFmtId="0" fontId="0" fillId="40" borderId="74" xfId="0" applyFill="1" applyBorder="1" applyAlignment="1" applyProtection="1">
      <alignment vertical="center" wrapText="1"/>
      <protection/>
    </xf>
    <xf numFmtId="0" fontId="0" fillId="40" borderId="75" xfId="0" applyFill="1" applyBorder="1" applyAlignment="1" applyProtection="1">
      <alignment vertical="center" wrapText="1"/>
      <protection/>
    </xf>
    <xf numFmtId="0" fontId="34" fillId="39" borderId="76" xfId="0" applyFont="1" applyFill="1" applyBorder="1" applyAlignment="1" applyProtection="1">
      <alignment horizontal="center" vertical="center" wrapText="1"/>
      <protection/>
    </xf>
    <xf numFmtId="0" fontId="0" fillId="39" borderId="76" xfId="0" applyFill="1" applyBorder="1" applyAlignment="1" applyProtection="1">
      <alignment wrapText="1"/>
      <protection/>
    </xf>
    <xf numFmtId="0" fontId="0" fillId="39" borderId="77" xfId="0" applyFill="1" applyBorder="1" applyAlignment="1" applyProtection="1">
      <alignment wrapText="1"/>
      <protection/>
    </xf>
    <xf numFmtId="166" fontId="7" fillId="39" borderId="68" xfId="0" applyNumberFormat="1" applyFont="1" applyFill="1" applyBorder="1" applyAlignment="1" applyProtection="1">
      <alignment horizontal="center" wrapText="1"/>
      <protection/>
    </xf>
    <xf numFmtId="0" fontId="0" fillId="39" borderId="69" xfId="0" applyFill="1" applyBorder="1" applyAlignment="1" applyProtection="1">
      <alignment horizontal="center" wrapText="1"/>
      <protection/>
    </xf>
    <xf numFmtId="166" fontId="7" fillId="39" borderId="73" xfId="0" applyNumberFormat="1" applyFont="1" applyFill="1" applyBorder="1" applyAlignment="1" applyProtection="1">
      <alignment horizontal="center" vertical="center" wrapText="1"/>
      <protection/>
    </xf>
    <xf numFmtId="0" fontId="0" fillId="39" borderId="78" xfId="0" applyFill="1" applyBorder="1" applyAlignment="1" applyProtection="1">
      <alignment horizontal="center" vertical="center" wrapText="1"/>
      <protection/>
    </xf>
    <xf numFmtId="166" fontId="7" fillId="39" borderId="18" xfId="0" applyNumberFormat="1" applyFont="1" applyFill="1" applyBorder="1" applyAlignment="1" applyProtection="1">
      <alignment horizontal="center" vertical="center" wrapText="1"/>
      <protection/>
    </xf>
    <xf numFmtId="0" fontId="0" fillId="39" borderId="44" xfId="0" applyFill="1" applyBorder="1" applyAlignment="1" applyProtection="1">
      <alignment horizontal="center" vertical="center" wrapText="1"/>
      <protection/>
    </xf>
    <xf numFmtId="166" fontId="19" fillId="39" borderId="64" xfId="0" applyNumberFormat="1" applyFont="1" applyFill="1" applyBorder="1" applyAlignment="1" applyProtection="1">
      <alignment horizontal="left" vertical="center" wrapText="1"/>
      <protection/>
    </xf>
    <xf numFmtId="0" fontId="19" fillId="39" borderId="38" xfId="0" applyFont="1" applyFill="1" applyBorder="1" applyAlignment="1" applyProtection="1">
      <alignment horizontal="left" vertical="center" wrapText="1"/>
      <protection/>
    </xf>
    <xf numFmtId="166" fontId="15" fillId="39" borderId="79" xfId="0" applyNumberFormat="1" applyFont="1" applyFill="1" applyBorder="1" applyAlignment="1" applyProtection="1">
      <alignment horizontal="center" vertical="center" wrapText="1"/>
      <protection/>
    </xf>
    <xf numFmtId="0" fontId="15" fillId="39" borderId="41" xfId="0" applyFont="1" applyFill="1" applyBorder="1" applyAlignment="1" applyProtection="1">
      <alignment horizontal="center" vertical="center" wrapText="1"/>
      <protection/>
    </xf>
    <xf numFmtId="0" fontId="7" fillId="39" borderId="80" xfId="0" applyFont="1" applyFill="1" applyBorder="1" applyAlignment="1" applyProtection="1">
      <alignment vertical="center" wrapText="1"/>
      <protection/>
    </xf>
    <xf numFmtId="0" fontId="0" fillId="0" borderId="81" xfId="0" applyBorder="1" applyAlignment="1" applyProtection="1">
      <alignment vertical="center" wrapText="1"/>
      <protection/>
    </xf>
    <xf numFmtId="0" fontId="0" fillId="0" borderId="82" xfId="0" applyBorder="1" applyAlignment="1" applyProtection="1">
      <alignment vertical="center" wrapText="1"/>
      <protection/>
    </xf>
    <xf numFmtId="0" fontId="7" fillId="39" borderId="73" xfId="0" applyFont="1" applyFill="1" applyBorder="1" applyAlignment="1" applyProtection="1">
      <alignment wrapText="1"/>
      <protection/>
    </xf>
    <xf numFmtId="0" fontId="7" fillId="39" borderId="74" xfId="0" applyFont="1" applyFill="1" applyBorder="1" applyAlignment="1" applyProtection="1">
      <alignment wrapText="1"/>
      <protection/>
    </xf>
    <xf numFmtId="0" fontId="0" fillId="39" borderId="75" xfId="0" applyFill="1" applyBorder="1" applyAlignment="1" applyProtection="1">
      <alignment horizontal="center" vertical="center" wrapText="1"/>
      <protection/>
    </xf>
    <xf numFmtId="0" fontId="0" fillId="39" borderId="70" xfId="0" applyFill="1" applyBorder="1" applyAlignment="1" applyProtection="1">
      <alignment horizontal="center" vertical="center" wrapText="1"/>
      <protection/>
    </xf>
    <xf numFmtId="166" fontId="7" fillId="39" borderId="68" xfId="0" applyNumberFormat="1" applyFont="1" applyFill="1" applyBorder="1" applyAlignment="1" applyProtection="1">
      <alignment horizontal="center" vertical="center" wrapText="1"/>
      <protection/>
    </xf>
    <xf numFmtId="0" fontId="0" fillId="39" borderId="69" xfId="0" applyFill="1" applyBorder="1" applyAlignment="1" applyProtection="1">
      <alignment horizontal="center" vertical="center" wrapText="1"/>
      <protection/>
    </xf>
    <xf numFmtId="0" fontId="19" fillId="39" borderId="64" xfId="0" applyFont="1" applyFill="1" applyBorder="1" applyAlignment="1" applyProtection="1">
      <alignment horizontal="left" vertical="center"/>
      <protection/>
    </xf>
    <xf numFmtId="0" fontId="19" fillId="39" borderId="34" xfId="0" applyFont="1" applyFill="1" applyBorder="1" applyAlignment="1" applyProtection="1">
      <alignment horizontal="left" vertical="center"/>
      <protection/>
    </xf>
    <xf numFmtId="0" fontId="0" fillId="39" borderId="74" xfId="0" applyFill="1" applyBorder="1" applyAlignment="1" applyProtection="1">
      <alignment horizontal="center" vertical="center" wrapText="1"/>
      <protection/>
    </xf>
    <xf numFmtId="166" fontId="7" fillId="39" borderId="18" xfId="0" applyNumberFormat="1" applyFont="1" applyFill="1" applyBorder="1" applyAlignment="1" applyProtection="1">
      <alignment horizontal="center" wrapText="1"/>
      <protection/>
    </xf>
    <xf numFmtId="0" fontId="0" fillId="39" borderId="44" xfId="0" applyFill="1" applyBorder="1" applyAlignment="1" applyProtection="1">
      <alignment horizontal="center" wrapText="1"/>
      <protection/>
    </xf>
    <xf numFmtId="0" fontId="0" fillId="39" borderId="70" xfId="0" applyFill="1" applyBorder="1" applyAlignment="1" applyProtection="1">
      <alignment wrapText="1"/>
      <protection/>
    </xf>
    <xf numFmtId="0" fontId="0" fillId="39" borderId="65" xfId="0" applyFill="1" applyBorder="1" applyAlignment="1" applyProtection="1">
      <alignment horizontal="center" vertical="center" wrapText="1"/>
      <protection/>
    </xf>
    <xf numFmtId="0" fontId="0" fillId="39" borderId="65" xfId="0" applyFill="1" applyBorder="1" applyAlignment="1" applyProtection="1">
      <alignment horizontal="center" wrapText="1"/>
      <protection/>
    </xf>
    <xf numFmtId="0" fontId="19" fillId="38" borderId="42" xfId="0" applyFont="1" applyFill="1" applyBorder="1" applyAlignment="1" applyProtection="1">
      <alignment horizontal="center" vertical="center" wrapText="1"/>
      <protection/>
    </xf>
    <xf numFmtId="0" fontId="19" fillId="38" borderId="37" xfId="0" applyFont="1" applyFill="1" applyBorder="1" applyAlignment="1" applyProtection="1">
      <alignment horizontal="center"/>
      <protection/>
    </xf>
    <xf numFmtId="0" fontId="34" fillId="40" borderId="83" xfId="0" applyFont="1" applyFill="1" applyBorder="1" applyAlignment="1" applyProtection="1">
      <alignment horizontal="center" vertical="center" wrapText="1"/>
      <protection/>
    </xf>
    <xf numFmtId="0" fontId="0" fillId="0" borderId="76" xfId="0" applyBorder="1" applyAlignment="1" applyProtection="1">
      <alignment wrapText="1"/>
      <protection/>
    </xf>
    <xf numFmtId="0" fontId="0" fillId="0" borderId="84" xfId="0" applyBorder="1" applyAlignment="1" applyProtection="1">
      <alignment wrapText="1"/>
      <protection/>
    </xf>
    <xf numFmtId="0" fontId="62" fillId="37" borderId="46" xfId="0" applyFont="1" applyFill="1" applyBorder="1" applyAlignment="1" applyProtection="1">
      <alignment horizontal="center" vertical="center" wrapText="1"/>
      <protection/>
    </xf>
    <xf numFmtId="0" fontId="51" fillId="0" borderId="10" xfId="0" applyFont="1" applyBorder="1" applyAlignment="1" applyProtection="1">
      <alignment horizontal="center" vertical="center"/>
      <protection/>
    </xf>
    <xf numFmtId="0" fontId="51" fillId="0" borderId="48" xfId="0" applyFont="1" applyBorder="1" applyAlignment="1" applyProtection="1">
      <alignment horizontal="center" vertical="center"/>
      <protection/>
    </xf>
    <xf numFmtId="0" fontId="34" fillId="38" borderId="83" xfId="0" applyFont="1" applyFill="1" applyBorder="1" applyAlignment="1" applyProtection="1">
      <alignment horizontal="center" vertical="center" wrapText="1"/>
      <protection/>
    </xf>
    <xf numFmtId="0" fontId="0" fillId="38" borderId="76" xfId="0" applyFill="1" applyBorder="1" applyAlignment="1" applyProtection="1">
      <alignment wrapText="1"/>
      <protection/>
    </xf>
    <xf numFmtId="0" fontId="0" fillId="38" borderId="84" xfId="0" applyFill="1" applyBorder="1" applyAlignment="1" applyProtection="1">
      <alignment wrapText="1"/>
      <protection/>
    </xf>
    <xf numFmtId="0" fontId="15" fillId="38" borderId="85" xfId="0" applyFont="1" applyFill="1" applyBorder="1" applyAlignment="1" applyProtection="1">
      <alignment horizontal="center" wrapText="1"/>
      <protection/>
    </xf>
    <xf numFmtId="0" fontId="15" fillId="38" borderId="86" xfId="0" applyFont="1" applyFill="1" applyBorder="1" applyAlignment="1" applyProtection="1">
      <alignment horizontal="center" wrapText="1"/>
      <protection/>
    </xf>
    <xf numFmtId="0" fontId="41" fillId="38" borderId="79" xfId="0" applyFont="1" applyFill="1" applyBorder="1" applyAlignment="1" applyProtection="1">
      <alignment horizontal="center" wrapText="1"/>
      <protection/>
    </xf>
    <xf numFmtId="0" fontId="41" fillId="38" borderId="41" xfId="0" applyFont="1" applyFill="1" applyBorder="1" applyAlignment="1" applyProtection="1">
      <alignment horizontal="center" wrapText="1"/>
      <protection/>
    </xf>
    <xf numFmtId="166" fontId="15" fillId="40" borderId="79" xfId="0" applyNumberFormat="1" applyFont="1" applyFill="1" applyBorder="1" applyAlignment="1" applyProtection="1">
      <alignment horizontal="center" vertical="center" wrapText="1"/>
      <protection/>
    </xf>
    <xf numFmtId="0" fontId="15" fillId="40" borderId="41" xfId="0" applyFont="1" applyFill="1" applyBorder="1" applyAlignment="1" applyProtection="1">
      <alignment horizontal="center" vertical="center" wrapText="1"/>
      <protection/>
    </xf>
    <xf numFmtId="0" fontId="7" fillId="38" borderId="80" xfId="0" applyFont="1" applyFill="1" applyBorder="1" applyAlignment="1" applyProtection="1">
      <alignment horizontal="left" vertical="center" wrapText="1"/>
      <protection/>
    </xf>
    <xf numFmtId="0" fontId="0" fillId="38" borderId="82" xfId="0" applyFont="1" applyFill="1" applyBorder="1" applyAlignment="1" applyProtection="1">
      <alignment horizontal="left" vertical="center" wrapText="1"/>
      <protection/>
    </xf>
    <xf numFmtId="0" fontId="7" fillId="40" borderId="80" xfId="0" applyFont="1" applyFill="1" applyBorder="1" applyAlignment="1" applyProtection="1">
      <alignment horizontal="left" vertical="center" wrapText="1"/>
      <protection/>
    </xf>
    <xf numFmtId="0" fontId="0" fillId="0" borderId="81" xfId="0" applyBorder="1" applyAlignment="1" applyProtection="1">
      <alignment horizontal="left" wrapText="1"/>
      <protection/>
    </xf>
    <xf numFmtId="0" fontId="0" fillId="0" borderId="82" xfId="0" applyBorder="1" applyAlignment="1" applyProtection="1">
      <alignment horizontal="left" wrapText="1"/>
      <protection/>
    </xf>
    <xf numFmtId="0" fontId="7" fillId="40" borderId="74" xfId="0" applyFont="1" applyFill="1" applyBorder="1" applyAlignment="1" applyProtection="1">
      <alignment horizontal="left" wrapText="1"/>
      <protection/>
    </xf>
    <xf numFmtId="0" fontId="15" fillId="40" borderId="0" xfId="0" applyFont="1" applyFill="1" applyBorder="1" applyAlignment="1" applyProtection="1">
      <alignment horizontal="center" vertical="center" wrapText="1"/>
      <protection/>
    </xf>
    <xf numFmtId="0" fontId="15" fillId="40" borderId="33" xfId="0" applyFont="1" applyFill="1" applyBorder="1" applyAlignment="1" applyProtection="1">
      <alignment horizontal="center" vertical="center" wrapText="1"/>
      <protection/>
    </xf>
    <xf numFmtId="166" fontId="19" fillId="40" borderId="64" xfId="0" applyNumberFormat="1" applyFont="1" applyFill="1" applyBorder="1" applyAlignment="1" applyProtection="1">
      <alignment horizontal="left" vertical="center" wrapText="1"/>
      <protection/>
    </xf>
    <xf numFmtId="0" fontId="19" fillId="40" borderId="38" xfId="0" applyFont="1" applyFill="1" applyBorder="1" applyAlignment="1" applyProtection="1">
      <alignment horizontal="left" vertical="center" wrapText="1"/>
      <protection/>
    </xf>
    <xf numFmtId="0" fontId="2" fillId="37" borderId="87" xfId="0"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88" xfId="0" applyBorder="1" applyAlignment="1" applyProtection="1">
      <alignment horizontal="center" vertical="center" wrapText="1"/>
      <protection/>
    </xf>
    <xf numFmtId="0" fontId="41" fillId="35" borderId="0" xfId="0" applyFont="1" applyFill="1" applyBorder="1" applyAlignment="1" applyProtection="1">
      <alignment vertical="center" wrapText="1"/>
      <protection/>
    </xf>
    <xf numFmtId="0" fontId="0" fillId="0" borderId="0" xfId="0" applyAlignment="1" applyProtection="1">
      <alignment/>
      <protection/>
    </xf>
    <xf numFmtId="0" fontId="10" fillId="37" borderId="46" xfId="0" applyFont="1" applyFill="1" applyBorder="1" applyAlignment="1" applyProtection="1">
      <alignment wrapText="1"/>
      <protection/>
    </xf>
    <xf numFmtId="0" fontId="60" fillId="0" borderId="10" xfId="0" applyFont="1" applyBorder="1" applyAlignment="1" applyProtection="1">
      <alignment/>
      <protection/>
    </xf>
    <xf numFmtId="0" fontId="10" fillId="37" borderId="31" xfId="0" applyFont="1" applyFill="1" applyBorder="1" applyAlignment="1" applyProtection="1">
      <alignment vertical="center" wrapText="1"/>
      <protection/>
    </xf>
    <xf numFmtId="0" fontId="0" fillId="0" borderId="15" xfId="0" applyBorder="1" applyAlignment="1" applyProtection="1">
      <alignment vertical="center"/>
      <protection/>
    </xf>
    <xf numFmtId="0" fontId="61" fillId="35" borderId="19" xfId="0" applyFont="1" applyFill="1" applyBorder="1" applyAlignment="1" applyProtection="1">
      <alignment horizontal="left" wrapText="1"/>
      <protection/>
    </xf>
    <xf numFmtId="0" fontId="0" fillId="0" borderId="0" xfId="0" applyAlignment="1" applyProtection="1">
      <alignment/>
      <protection/>
    </xf>
    <xf numFmtId="0" fontId="19" fillId="38" borderId="42" xfId="0" applyFont="1" applyFill="1" applyBorder="1" applyAlignment="1" applyProtection="1">
      <alignment horizontal="left" vertical="center"/>
      <protection/>
    </xf>
    <xf numFmtId="0" fontId="19" fillId="38" borderId="48" xfId="0" applyFont="1" applyFill="1" applyBorder="1" applyAlignment="1" applyProtection="1">
      <alignment horizontal="left" vertical="center"/>
      <protection/>
    </xf>
    <xf numFmtId="0" fontId="15" fillId="38" borderId="17" xfId="0" applyFont="1" applyFill="1" applyBorder="1" applyAlignment="1" applyProtection="1">
      <alignment horizontal="center" wrapText="1"/>
      <protection/>
    </xf>
    <xf numFmtId="0" fontId="15" fillId="38" borderId="89" xfId="0" applyFont="1" applyFill="1" applyBorder="1" applyAlignment="1" applyProtection="1">
      <alignment horizontal="center" wrapText="1"/>
      <protection/>
    </xf>
    <xf numFmtId="0" fontId="41" fillId="38" borderId="0" xfId="0" applyFont="1" applyFill="1" applyBorder="1" applyAlignment="1" applyProtection="1">
      <alignment horizontal="center" wrapText="1"/>
      <protection/>
    </xf>
    <xf numFmtId="0" fontId="41" fillId="38" borderId="33" xfId="0" applyFont="1" applyFill="1" applyBorder="1" applyAlignment="1" applyProtection="1">
      <alignment horizontal="center" wrapText="1"/>
      <protection/>
    </xf>
    <xf numFmtId="0" fontId="2" fillId="35" borderId="61" xfId="0" applyFont="1" applyFill="1" applyBorder="1" applyAlignment="1" applyProtection="1">
      <alignment horizontal="center" vertical="center"/>
      <protection/>
    </xf>
    <xf numFmtId="0" fontId="2" fillId="35" borderId="62" xfId="0" applyFont="1" applyFill="1" applyBorder="1" applyAlignment="1" applyProtection="1">
      <alignment horizontal="center"/>
      <protection/>
    </xf>
    <xf numFmtId="0" fontId="51" fillId="35" borderId="62" xfId="0" applyFont="1" applyFill="1" applyBorder="1" applyAlignment="1" applyProtection="1">
      <alignment horizontal="center" vertical="center"/>
      <protection/>
    </xf>
    <xf numFmtId="0" fontId="51" fillId="35" borderId="90" xfId="0" applyFont="1" applyFill="1" applyBorder="1" applyAlignment="1" applyProtection="1">
      <alignment horizontal="center" vertical="center"/>
      <protection/>
    </xf>
    <xf numFmtId="0" fontId="69" fillId="33"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OILMOD_benzene"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7</xdr:row>
      <xdr:rowOff>0</xdr:rowOff>
    </xdr:from>
    <xdr:to>
      <xdr:col>88</xdr:col>
      <xdr:colOff>0</xdr:colOff>
      <xdr:row>13</xdr:row>
      <xdr:rowOff>0</xdr:rowOff>
    </xdr:to>
    <xdr:sp>
      <xdr:nvSpPr>
        <xdr:cNvPr id="1" name="TextBox 4"/>
        <xdr:cNvSpPr txBox="1">
          <a:spLocks noChangeArrowheads="1"/>
        </xdr:cNvSpPr>
      </xdr:nvSpPr>
      <xdr:spPr>
        <a:xfrm>
          <a:off x="2333625" y="466725"/>
          <a:ext cx="3533775" cy="400050"/>
        </a:xfrm>
        <a:prstGeom prst="rect">
          <a:avLst/>
        </a:prstGeom>
        <a:noFill/>
        <a:ln w="9525" cmpd="sng">
          <a:noFill/>
        </a:ln>
      </xdr:spPr>
      <xdr:txBody>
        <a:bodyPr vertOverflow="clip" wrap="square"/>
        <a:p>
          <a:pPr algn="l">
            <a:defRPr/>
          </a:pPr>
          <a:r>
            <a:rPr lang="en-US" cap="none" sz="1000" b="0" i="0" u="none" baseline="0">
              <a:solidFill>
                <a:srgbClr val="FF0000"/>
              </a:solidFill>
              <a:latin typeface="Arial"/>
              <a:ea typeface="Arial"/>
              <a:cs typeface="Arial"/>
            </a:rPr>
            <a:t>DO NOT LOAD AND USE MORE THAN ONE (1) COPY OF "MTCASGL" WORKBOOK AT THE SAME TIME.</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7</xdr:row>
      <xdr:rowOff>0</xdr:rowOff>
    </xdr:from>
    <xdr:to>
      <xdr:col>93</xdr:col>
      <xdr:colOff>0</xdr:colOff>
      <xdr:row>35</xdr:row>
      <xdr:rowOff>0</xdr:rowOff>
    </xdr:to>
    <xdr:sp>
      <xdr:nvSpPr>
        <xdr:cNvPr id="1" name="TextBox 10"/>
        <xdr:cNvSpPr txBox="1">
          <a:spLocks noChangeArrowheads="1"/>
        </xdr:cNvSpPr>
      </xdr:nvSpPr>
      <xdr:spPr>
        <a:xfrm>
          <a:off x="2333625" y="466725"/>
          <a:ext cx="3867150" cy="1866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CAUTION: The requirements and procedures for establishing cleanup levels that are protective of human health and the environment are specified in the MTCA Cleanup Regulation, chapter 173-340 WAC.  The use of this Workbook is not sufficient to establish cleanup levels under the regulation.  The soil cleanup levels derived using this Workbook do not account for ecological impacts.  The ground water cleanup levels do not account for potential surface water impacts.  Other exposure pathways may need to be evaluated on a site-specific basis to establish soil cleanup levels.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9</xdr:row>
      <xdr:rowOff>0</xdr:rowOff>
    </xdr:from>
    <xdr:to>
      <xdr:col>92</xdr:col>
      <xdr:colOff>0</xdr:colOff>
      <xdr:row>50</xdr:row>
      <xdr:rowOff>0</xdr:rowOff>
    </xdr:to>
    <xdr:sp>
      <xdr:nvSpPr>
        <xdr:cNvPr id="1" name="TextBox 10"/>
        <xdr:cNvSpPr txBox="1">
          <a:spLocks noChangeArrowheads="1"/>
        </xdr:cNvSpPr>
      </xdr:nvSpPr>
      <xdr:spPr>
        <a:xfrm>
          <a:off x="1466850" y="600075"/>
          <a:ext cx="4667250" cy="27336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DISCLAIMER:  MTCASGL is provided “AS IS” and without warranties as to performance or any other warranties of any kind whether expressed or implied.  The user assumes the entire risk of using this program.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0</xdr:colOff>
      <xdr:row>6</xdr:row>
      <xdr:rowOff>19050</xdr:rowOff>
    </xdr:from>
    <xdr:ext cx="2800350" cy="180975"/>
    <xdr:sp>
      <xdr:nvSpPr>
        <xdr:cNvPr id="1" name="TextBox 11"/>
        <xdr:cNvSpPr txBox="1">
          <a:spLocks noChangeArrowheads="1"/>
        </xdr:cNvSpPr>
      </xdr:nvSpPr>
      <xdr:spPr>
        <a:xfrm>
          <a:off x="2333625" y="419100"/>
          <a:ext cx="2800350" cy="180975"/>
        </a:xfrm>
        <a:prstGeom prst="rect">
          <a:avLst/>
        </a:prstGeom>
        <a:noFill/>
        <a:ln w="9525" cmpd="sng">
          <a:noFill/>
        </a:ln>
      </xdr:spPr>
      <xdr:txBody>
        <a:bodyPr vertOverflow="clip" wrap="square"/>
        <a:p>
          <a:pPr algn="l">
            <a:defRPr/>
          </a:pPr>
          <a:r>
            <a:rPr lang="en-US" cap="none" sz="800" b="0" i="0" u="none" baseline="0">
              <a:solidFill>
                <a:srgbClr val="FF0000"/>
              </a:solidFill>
              <a:latin typeface="Arial"/>
              <a:ea typeface="Arial"/>
              <a:cs typeface="Arial"/>
            </a:rPr>
            <a:t>See Table 720-1 in MTCA rule for complete footnotes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8</xdr:row>
      <xdr:rowOff>180975</xdr:rowOff>
    </xdr:from>
    <xdr:ext cx="6438900" cy="390525"/>
    <xdr:sp>
      <xdr:nvSpPr>
        <xdr:cNvPr id="1" name="Text Box 4"/>
        <xdr:cNvSpPr txBox="1">
          <a:spLocks noChangeArrowheads="1"/>
        </xdr:cNvSpPr>
      </xdr:nvSpPr>
      <xdr:spPr>
        <a:xfrm>
          <a:off x="476250" y="1228725"/>
          <a:ext cx="6438900" cy="390525"/>
        </a:xfrm>
        <a:prstGeom prst="rect">
          <a:avLst/>
        </a:prstGeom>
        <a:solidFill>
          <a:srgbClr val="000000"/>
        </a:solidFill>
        <a:ln w="3175" cmpd="sng">
          <a:solidFill>
            <a:srgbClr val="FFFFFF"/>
          </a:solidFill>
          <a:headEnd type="none"/>
          <a:tailEnd type="none"/>
        </a:ln>
      </xdr:spPr>
      <xdr:txBody>
        <a:bodyPr vertOverflow="clip" wrap="square" lIns="27432" tIns="27432" rIns="27432" bIns="0"/>
        <a:p>
          <a:pPr algn="ctr">
            <a:defRPr/>
          </a:pPr>
          <a:r>
            <a:rPr lang="en-US" cap="none" sz="1100" b="0" i="1" u="none" baseline="0">
              <a:solidFill>
                <a:srgbClr val="C0C0C0"/>
              </a:solidFill>
              <a:latin typeface="Times New Roman"/>
              <a:ea typeface="Times New Roman"/>
              <a:cs typeface="Times New Roman"/>
            </a:rPr>
            <a:t>This Workbook  uses chemical-specific and site-specific input data provided by the user and/or default parameter values set forth in Chapter 173-340 WAC  to calculate the following for individual hazardous substances:</a:t>
          </a:r>
          <a:r>
            <a:rPr lang="en-US" cap="none" sz="1000" b="1" i="0" u="none" baseline="0">
              <a:solidFill>
                <a:srgbClr val="C0C0C0"/>
              </a:solidFill>
              <a:latin typeface="Times New Roman"/>
              <a:ea typeface="Times New Roman"/>
              <a:cs typeface="Times New Roman"/>
            </a:rPr>
            <a:t>
</a:t>
          </a:r>
        </a:p>
      </xdr:txBody>
    </xdr:sp>
    <xdr:clientData/>
  </xdr:oneCellAnchor>
  <xdr:oneCellAnchor>
    <xdr:from>
      <xdr:col>2</xdr:col>
      <xdr:colOff>419100</xdr:colOff>
      <xdr:row>14</xdr:row>
      <xdr:rowOff>47625</xdr:rowOff>
    </xdr:from>
    <xdr:ext cx="600075" cy="171450"/>
    <xdr:sp>
      <xdr:nvSpPr>
        <xdr:cNvPr id="2" name="Text Box 5"/>
        <xdr:cNvSpPr txBox="1">
          <a:spLocks noChangeArrowheads="1"/>
        </xdr:cNvSpPr>
      </xdr:nvSpPr>
      <xdr:spPr>
        <a:xfrm>
          <a:off x="809625" y="3086100"/>
          <a:ext cx="600075" cy="171450"/>
        </a:xfrm>
        <a:prstGeom prst="rect">
          <a:avLst/>
        </a:prstGeom>
        <a:solidFill>
          <a:srgbClr val="000000"/>
        </a:solidFill>
        <a:ln w="9525" cmpd="sng">
          <a:noFill/>
        </a:ln>
      </xdr:spPr>
      <xdr:txBody>
        <a:bodyPr vertOverflow="clip" wrap="square" lIns="27432" tIns="22860" rIns="0" bIns="0"/>
        <a:p>
          <a:pPr algn="l">
            <a:defRPr/>
          </a:pPr>
          <a:r>
            <a:rPr lang="en-US" cap="none" sz="1000" b="1" i="0" u="none" baseline="0">
              <a:solidFill>
                <a:srgbClr val="FFFFFF"/>
              </a:solidFill>
            </a:rPr>
            <a:t>SELECT</a:t>
          </a:r>
        </a:p>
      </xdr:txBody>
    </xdr:sp>
    <xdr:clientData/>
  </xdr:oneCellAnchor>
  <xdr:oneCellAnchor>
    <xdr:from>
      <xdr:col>3</xdr:col>
      <xdr:colOff>895350</xdr:colOff>
      <xdr:row>14</xdr:row>
      <xdr:rowOff>47625</xdr:rowOff>
    </xdr:from>
    <xdr:ext cx="914400" cy="200025"/>
    <xdr:sp>
      <xdr:nvSpPr>
        <xdr:cNvPr id="3" name="Text Box 6"/>
        <xdr:cNvSpPr txBox="1">
          <a:spLocks noChangeArrowheads="1"/>
        </xdr:cNvSpPr>
      </xdr:nvSpPr>
      <xdr:spPr>
        <a:xfrm>
          <a:off x="2238375" y="3086100"/>
          <a:ext cx="914400" cy="200025"/>
        </a:xfrm>
        <a:prstGeom prst="rect">
          <a:avLst/>
        </a:prstGeom>
        <a:solidFill>
          <a:srgbClr val="000000"/>
        </a:solidFill>
        <a:ln w="9525" cmpd="sng">
          <a:noFill/>
        </a:ln>
      </xdr:spPr>
      <xdr:txBody>
        <a:bodyPr vertOverflow="clip" wrap="square" lIns="27432" tIns="22860" rIns="0" bIns="0"/>
        <a:p>
          <a:pPr algn="l">
            <a:defRPr/>
          </a:pPr>
          <a:r>
            <a:rPr lang="en-US" cap="none" sz="1000" b="1" i="0" u="none" baseline="0">
              <a:solidFill>
                <a:srgbClr val="FFFFFF"/>
              </a:solidFill>
            </a:rPr>
            <a:t>TO PROCEED</a:t>
          </a:r>
        </a:p>
      </xdr:txBody>
    </xdr:sp>
    <xdr:clientData/>
  </xdr:oneCellAnchor>
  <xdr:oneCellAnchor>
    <xdr:from>
      <xdr:col>4</xdr:col>
      <xdr:colOff>1057275</xdr:colOff>
      <xdr:row>14</xdr:row>
      <xdr:rowOff>47625</xdr:rowOff>
    </xdr:from>
    <xdr:ext cx="561975" cy="161925"/>
    <xdr:sp>
      <xdr:nvSpPr>
        <xdr:cNvPr id="4" name="Text Box 7"/>
        <xdr:cNvSpPr txBox="1">
          <a:spLocks noChangeArrowheads="1"/>
        </xdr:cNvSpPr>
      </xdr:nvSpPr>
      <xdr:spPr>
        <a:xfrm>
          <a:off x="4000500" y="3086100"/>
          <a:ext cx="561975" cy="161925"/>
        </a:xfrm>
        <a:prstGeom prst="rect">
          <a:avLst/>
        </a:prstGeom>
        <a:solidFill>
          <a:srgbClr val="000000"/>
        </a:solidFill>
        <a:ln w="9525" cmpd="sng">
          <a:noFill/>
        </a:ln>
      </xdr:spPr>
      <xdr:txBody>
        <a:bodyPr vertOverflow="clip" wrap="square" lIns="27432" tIns="22860" rIns="0" bIns="0"/>
        <a:p>
          <a:pPr algn="l">
            <a:defRPr/>
          </a:pPr>
          <a:r>
            <a:rPr lang="en-US" cap="none" sz="1000" b="1" i="0" u="none" baseline="0">
              <a:solidFill>
                <a:srgbClr val="FFFFFF"/>
              </a:solidFill>
            </a:rPr>
            <a:t>SELECT </a:t>
          </a:r>
        </a:p>
      </xdr:txBody>
    </xdr:sp>
    <xdr:clientData/>
  </xdr:oneCellAnchor>
  <xdr:oneCellAnchor>
    <xdr:from>
      <xdr:col>5</xdr:col>
      <xdr:colOff>714375</xdr:colOff>
      <xdr:row>14</xdr:row>
      <xdr:rowOff>38100</xdr:rowOff>
    </xdr:from>
    <xdr:ext cx="1476375" cy="171450"/>
    <xdr:sp>
      <xdr:nvSpPr>
        <xdr:cNvPr id="5" name="Text Box 8"/>
        <xdr:cNvSpPr txBox="1">
          <a:spLocks noChangeArrowheads="1"/>
        </xdr:cNvSpPr>
      </xdr:nvSpPr>
      <xdr:spPr>
        <a:xfrm>
          <a:off x="5353050" y="3076575"/>
          <a:ext cx="1476375" cy="171450"/>
        </a:xfrm>
        <a:prstGeom prst="rect">
          <a:avLst/>
        </a:prstGeom>
        <a:solidFill>
          <a:srgbClr val="000000"/>
        </a:solidFill>
        <a:ln w="9525" cmpd="sng">
          <a:noFill/>
        </a:ln>
      </xdr:spPr>
      <xdr:txBody>
        <a:bodyPr vertOverflow="clip" wrap="square" lIns="27432" tIns="22860" rIns="0" bIns="0"/>
        <a:p>
          <a:pPr algn="l">
            <a:defRPr/>
          </a:pPr>
          <a:r>
            <a:rPr lang="en-US" cap="none" sz="1000" b="1" i="0" u="none" baseline="0">
              <a:solidFill>
                <a:srgbClr val="FFFFFF"/>
              </a:solidFill>
            </a:rPr>
            <a:t>TO EXIT WORKBOOK</a:t>
          </a:r>
        </a:p>
      </xdr:txBody>
    </xdr:sp>
    <xdr:clientData/>
  </xdr:oneCellAnchor>
  <xdr:oneCellAnchor>
    <xdr:from>
      <xdr:col>2</xdr:col>
      <xdr:colOff>152400</xdr:colOff>
      <xdr:row>11</xdr:row>
      <xdr:rowOff>133350</xdr:rowOff>
    </xdr:from>
    <xdr:ext cx="6353175" cy="1285875"/>
    <xdr:sp>
      <xdr:nvSpPr>
        <xdr:cNvPr id="6" name="Text Box 9"/>
        <xdr:cNvSpPr txBox="1">
          <a:spLocks noChangeArrowheads="1"/>
        </xdr:cNvSpPr>
      </xdr:nvSpPr>
      <xdr:spPr>
        <a:xfrm>
          <a:off x="542925" y="1714500"/>
          <a:ext cx="6353175" cy="1285875"/>
        </a:xfrm>
        <a:prstGeom prst="rect">
          <a:avLst/>
        </a:prstGeom>
        <a:solidFill>
          <a:srgbClr val="000000"/>
        </a:solidFill>
        <a:ln w="9525" cmpd="sng">
          <a:noFill/>
        </a:ln>
      </xdr:spPr>
      <xdr:txBody>
        <a:bodyPr vertOverflow="clip" wrap="square" lIns="27432" tIns="27432" rIns="0" bIns="0"/>
        <a:p>
          <a:pPr algn="l">
            <a:defRPr/>
          </a:pPr>
          <a:r>
            <a:rPr lang="en-US" cap="none" sz="1200" b="1" i="0" u="sng" baseline="0">
              <a:solidFill>
                <a:srgbClr val="C0C0C0"/>
              </a:solidFill>
              <a:latin typeface="Times New Roman"/>
              <a:ea typeface="Times New Roman"/>
              <a:cs typeface="Times New Roman"/>
            </a:rPr>
            <a:t>Soil Cleanup Level</a:t>
          </a:r>
          <a:r>
            <a:rPr lang="en-US" cap="none" sz="1000" b="1" i="0" u="none" baseline="0">
              <a:solidFill>
                <a:srgbClr val="C0C0C0"/>
              </a:solidFill>
              <a:latin typeface="Times New Roman"/>
              <a:ea typeface="Times New Roman"/>
              <a:cs typeface="Times New Roman"/>
            </a:rPr>
            <a:t> for Unrestricted Land Use and Industrial  Land use based on the evaluation of the 
</a:t>
          </a:r>
          <a:r>
            <a:rPr lang="en-US" cap="none" sz="1000" b="1" i="0" u="none" baseline="0">
              <a:solidFill>
                <a:srgbClr val="C0C0C0"/>
              </a:solidFill>
              <a:latin typeface="Times New Roman"/>
              <a:ea typeface="Times New Roman"/>
              <a:cs typeface="Times New Roman"/>
            </a:rPr>
            <a:t>                                         following pathways (Refer to WAC 173-340-720, 740, 745, 747, and 750):
</a:t>
          </a:r>
          <a:r>
            <a:rPr lang="en-US" cap="none" sz="1000" b="1" i="0" u="none" baseline="0">
              <a:solidFill>
                <a:srgbClr val="C0C0C0"/>
              </a:solidFill>
              <a:latin typeface="Times New Roman"/>
              <a:ea typeface="Times New Roman"/>
              <a:cs typeface="Times New Roman"/>
            </a:rPr>
            <a:t>                          1. Soil Direct Contact: Standard and Modified Method B Unrestricted and C Industrial Use
</a:t>
          </a:r>
          <a:r>
            <a:rPr lang="en-US" cap="none" sz="1000" b="1" i="0" u="none" baseline="0">
              <a:solidFill>
                <a:srgbClr val="C0C0C0"/>
              </a:solidFill>
              <a:latin typeface="Times New Roman"/>
              <a:ea typeface="Times New Roman"/>
              <a:cs typeface="Times New Roman"/>
            </a:rPr>
            <a:t>                          2. Ground Water Protection: 3-phase Equilibrium Partitioning Model
</a:t>
          </a:r>
          <a:r>
            <a:rPr lang="en-US" cap="none" sz="1000" b="1" i="0" u="none" baseline="0">
              <a:solidFill>
                <a:srgbClr val="C0C0C0"/>
              </a:solidFill>
              <a:latin typeface="Times New Roman"/>
              <a:ea typeface="Times New Roman"/>
              <a:cs typeface="Times New Roman"/>
            </a:rPr>
            <a:t>                          3. Air Quality Protection: provided for informational  purposes only
</a:t>
          </a:r>
          <a:r>
            <a:rPr lang="en-US" cap="none" sz="1200" b="1" i="0" u="sng" baseline="0">
              <a:solidFill>
                <a:srgbClr val="C0C0C0"/>
              </a:solidFill>
              <a:latin typeface="Times New Roman"/>
              <a:ea typeface="Times New Roman"/>
              <a:cs typeface="Times New Roman"/>
            </a:rPr>
            <a:t>Potable Ground Water Cleanup Level</a:t>
          </a:r>
          <a:r>
            <a:rPr lang="en-US" cap="none" sz="1000" b="1" i="0" u="none" baseline="0">
              <a:solidFill>
                <a:srgbClr val="C0C0C0"/>
              </a:solidFill>
              <a:latin typeface="Times New Roman"/>
              <a:ea typeface="Times New Roman"/>
              <a:cs typeface="Times New Roman"/>
            </a:rPr>
            <a:t> for Method B &amp; C: (Refer to WAC 173-340-720)
</a:t>
          </a:r>
          <a:r>
            <a:rPr lang="en-US" cap="none" sz="1200" b="1" i="0" u="sng" baseline="0">
              <a:solidFill>
                <a:srgbClr val="C0C0C0"/>
              </a:solidFill>
              <a:latin typeface="Times New Roman"/>
              <a:ea typeface="Times New Roman"/>
              <a:cs typeface="Times New Roman"/>
            </a:rPr>
            <a:t>Air Cleanup Level</a:t>
          </a:r>
          <a:r>
            <a:rPr lang="en-US" cap="none" sz="1000" b="1" i="0" u="none" baseline="0">
              <a:solidFill>
                <a:srgbClr val="C0C0C0"/>
              </a:solidFill>
              <a:latin typeface="Times New Roman"/>
              <a:ea typeface="Times New Roman"/>
              <a:cs typeface="Times New Roman"/>
            </a:rPr>
            <a:t> for Method B and C: (Refer to WAC 173-340-750; informational purposes only)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147</xdr:row>
      <xdr:rowOff>590550</xdr:rowOff>
    </xdr:from>
    <xdr:to>
      <xdr:col>19</xdr:col>
      <xdr:colOff>552450</xdr:colOff>
      <xdr:row>163</xdr:row>
      <xdr:rowOff>104775</xdr:rowOff>
    </xdr:to>
    <xdr:sp>
      <xdr:nvSpPr>
        <xdr:cNvPr id="1" name="Text Box 39"/>
        <xdr:cNvSpPr txBox="1">
          <a:spLocks noChangeArrowheads="1"/>
        </xdr:cNvSpPr>
      </xdr:nvSpPr>
      <xdr:spPr>
        <a:xfrm>
          <a:off x="104775" y="20697825"/>
          <a:ext cx="7848600" cy="3457575"/>
        </a:xfrm>
        <a:prstGeom prst="rect">
          <a:avLst/>
        </a:prstGeom>
        <a:solidFill>
          <a:srgbClr val="CCFFFF"/>
        </a:solidFill>
        <a:ln w="9525" cmpd="sng">
          <a:noFill/>
        </a:ln>
      </xdr:spPr>
      <xdr:txBody>
        <a:bodyPr vertOverflow="clip" wrap="square" lIns="27432" tIns="22860" rIns="0" bIns="0"/>
        <a:p>
          <a:pPr algn="l">
            <a:defRPr/>
          </a:pPr>
          <a:r>
            <a:rPr lang="en-US" cap="none" sz="1100" b="0" i="0" u="none" baseline="0">
              <a:solidFill>
                <a:srgbClr val="FF0000"/>
              </a:solidFill>
              <a:latin typeface="Arial"/>
              <a:ea typeface="Arial"/>
              <a:cs typeface="Arial"/>
            </a:rPr>
            <a:t>
</a:t>
          </a:r>
          <a:r>
            <a:rPr lang="en-US" cap="none" sz="1100" b="0" i="0" u="none" baseline="0">
              <a:solidFill>
                <a:srgbClr val="FF0000"/>
              </a:solidFill>
              <a:latin typeface="Arial"/>
              <a:ea typeface="Arial"/>
              <a:cs typeface="Arial"/>
            </a:rPr>
            <a:t>
</a:t>
          </a:r>
          <a:r>
            <a:rPr lang="en-US" cap="none" sz="1100" b="1" i="0" u="none" baseline="0">
              <a:solidFill>
                <a:srgbClr val="FF0000"/>
              </a:solidFill>
              <a:latin typeface="Arial"/>
              <a:ea typeface="Arial"/>
              <a:cs typeface="Arial"/>
            </a:rPr>
            <a:t>CAUTION</a:t>
          </a:r>
          <a:r>
            <a:rPr lang="en-US" cap="none" sz="1100" b="0" i="0" u="none" baseline="0">
              <a:solidFill>
                <a:srgbClr val="FF0000"/>
              </a:solidFill>
              <a:latin typeface="Arial"/>
              <a:ea typeface="Arial"/>
              <a:cs typeface="Arial"/>
            </a:rPr>
            <a:t>: The requirements and procedures for establishing soil cleanup levels that are protective of human health and the environment are specified in the MTCA Cleanup Regulation (see WAC 173-340-740, 173-340-745, 173-340-747 and 173-340-7490 through 173-340-7494).  The use of this Workbook is not sufficient to establish soil cleanup levels under the regulation.  Specifically, the soil cleanup levels derived using this Workbook do not account for the following:
</a:t>
          </a:r>
          <a:r>
            <a:rPr lang="en-US" cap="none" sz="1100" b="0" i="0" u="none" baseline="0">
              <a:solidFill>
                <a:srgbClr val="FF0000"/>
              </a:solidFill>
              <a:latin typeface="Arial"/>
              <a:ea typeface="Arial"/>
              <a:cs typeface="Arial"/>
            </a:rPr>
            <a:t>           · Concentrations based on applicable state and federal laws (see WAC 173-340-740(3)(b)(i) and 173-340-745(5)(b)(i));
</a:t>
          </a:r>
          <a:r>
            <a:rPr lang="en-US" cap="none" sz="1100" b="0" i="0" u="none" baseline="0">
              <a:solidFill>
                <a:srgbClr val="FF0000"/>
              </a:solidFill>
              <a:latin typeface="Arial"/>
              <a:ea typeface="Arial"/>
              <a:cs typeface="Arial"/>
            </a:rPr>
            <a:t>           · Soil residual saturation (see WAC 173-340-747(10));
</a:t>
          </a:r>
          <a:r>
            <a:rPr lang="en-US" cap="none" sz="1100" b="0" i="0" u="none" baseline="0">
              <a:solidFill>
                <a:srgbClr val="FF0000"/>
              </a:solidFill>
              <a:latin typeface="Arial"/>
              <a:ea typeface="Arial"/>
              <a:cs typeface="Arial"/>
            </a:rPr>
            <a:t>           · Ecological impacts (see WAC 173-340-7490 through 7494); and
</a:t>
          </a:r>
          <a:r>
            <a:rPr lang="en-US" cap="none" sz="1100" b="0" i="0" u="none" baseline="0">
              <a:solidFill>
                <a:srgbClr val="FF0000"/>
              </a:solidFill>
              <a:latin typeface="Arial"/>
              <a:ea typeface="Arial"/>
              <a:cs typeface="Arial"/>
            </a:rPr>
            <a:t>           · Total site noncancer HQ and cancer risk (see WAC 173-340-740(5)(a) and 173-340-745(6)(a)).  
</a:t>
          </a:r>
          <a:r>
            <a:rPr lang="en-US" cap="none" sz="1100" b="0" i="0" u="none" baseline="0">
              <a:solidFill>
                <a:srgbClr val="FF0000"/>
              </a:solidFill>
              <a:latin typeface="Arial"/>
              <a:ea typeface="Arial"/>
              <a:cs typeface="Arial"/>
            </a:rPr>
            <a:t>Other exposure pathways may also need to be evaluated on a site-specific basis to establish soil cleanup levels.
</a:t>
          </a:r>
          <a:r>
            <a:rPr lang="en-US" cap="none" sz="1100" b="0" i="0" u="none" baseline="0">
              <a:solidFill>
                <a:srgbClr val="FF0000"/>
              </a:solidFill>
              <a:latin typeface="Arial"/>
              <a:ea typeface="Arial"/>
              <a:cs typeface="Arial"/>
            </a:rPr>
            <a:t>
</a:t>
          </a:r>
          <a:r>
            <a:rPr lang="en-US" cap="none" sz="1100" b="1" i="0" u="none" baseline="0">
              <a:solidFill>
                <a:srgbClr val="FF0000"/>
              </a:solidFill>
              <a:latin typeface="Arial"/>
              <a:ea typeface="Arial"/>
              <a:cs typeface="Arial"/>
            </a:rPr>
            <a:t>CAUTION</a:t>
          </a:r>
          <a:r>
            <a:rPr lang="en-US" cap="none" sz="1100" b="0" i="0" u="none" baseline="0">
              <a:solidFill>
                <a:srgbClr val="FF0000"/>
              </a:solidFill>
              <a:latin typeface="Arial"/>
              <a:ea typeface="Arial"/>
              <a:cs typeface="Arial"/>
            </a:rPr>
            <a:t>: The requirements and procedures for establishing air cleanup levels that are protective of human health and the environment are specified in the MTCA Cleanup Regulation (see WAC 173-340-750).  The use of this Workbook may not be  sufficient to establish air cleanup levels under the regulation.  Specifically, the air cleanup levels derived using this Workbook do not account for the following:
</a:t>
          </a:r>
          <a:r>
            <a:rPr lang="en-US" cap="none" sz="1100" b="0" i="0" u="none" baseline="0">
              <a:solidFill>
                <a:srgbClr val="FF0000"/>
              </a:solidFill>
              <a:latin typeface="Arial"/>
              <a:ea typeface="Arial"/>
              <a:cs typeface="Arial"/>
            </a:rPr>
            <a:t>           · Concentrations based on applicable state and federal laws (see WAC 173-340-750(3)(b)(i) and (4)(b)(i));
</a:t>
          </a:r>
          <a:r>
            <a:rPr lang="en-US" cap="none" sz="1100" b="0" i="0" u="none" baseline="0">
              <a:solidFill>
                <a:srgbClr val="FF0000"/>
              </a:solidFill>
              <a:latin typeface="Arial"/>
              <a:ea typeface="Arial"/>
              <a:cs typeface="Arial"/>
            </a:rPr>
            <a:t>           · Concentrations based on natural background and the practical quantitation limit (see WAC 173-340-750(5)(c));
</a:t>
          </a:r>
          <a:r>
            <a:rPr lang="en-US" cap="none" sz="1100" b="0" i="0" u="none" baseline="0">
              <a:solidFill>
                <a:srgbClr val="FF0000"/>
              </a:solidFill>
              <a:latin typeface="Arial"/>
              <a:ea typeface="Arial"/>
              <a:cs typeface="Arial"/>
            </a:rPr>
            <a:t>           · Total site risk (see WAC 173-340-750(5)(a)).  
</a:t>
          </a:r>
        </a:p>
      </xdr:txBody>
    </xdr:sp>
    <xdr:clientData/>
  </xdr:twoCellAnchor>
  <xdr:oneCellAnchor>
    <xdr:from>
      <xdr:col>2</xdr:col>
      <xdr:colOff>28575</xdr:colOff>
      <xdr:row>104</xdr:row>
      <xdr:rowOff>9525</xdr:rowOff>
    </xdr:from>
    <xdr:ext cx="6724650" cy="228600"/>
    <xdr:sp>
      <xdr:nvSpPr>
        <xdr:cNvPr id="2" name="Text Box 60"/>
        <xdr:cNvSpPr txBox="1">
          <a:spLocks noChangeArrowheads="1"/>
        </xdr:cNvSpPr>
      </xdr:nvSpPr>
      <xdr:spPr>
        <a:xfrm>
          <a:off x="200025" y="10553700"/>
          <a:ext cx="6724650" cy="22860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To calculate a soil cleanup level based on Industrial Land Use (Method C) for Direct Soil Contact, check here:
</a:t>
          </a:r>
          <a:r>
            <a:rPr lang="en-US" cap="none" sz="1200" b="0" i="0" u="none" baseline="0">
              <a:solidFill>
                <a:srgbClr val="000000"/>
              </a:solidFill>
              <a:latin typeface="Times New Roman"/>
              <a:ea typeface="Times New Roman"/>
              <a:cs typeface="Times New Roman"/>
            </a:rPr>
            <a:t> industrial land use, check here.
</a:t>
          </a:r>
        </a:p>
      </xdr:txBody>
    </xdr:sp>
    <xdr:clientData/>
  </xdr:oneCellAnchor>
  <xdr:oneCellAnchor>
    <xdr:from>
      <xdr:col>2</xdr:col>
      <xdr:colOff>0</xdr:colOff>
      <xdr:row>20</xdr:row>
      <xdr:rowOff>0</xdr:rowOff>
    </xdr:from>
    <xdr:ext cx="6562725" cy="219075"/>
    <xdr:sp>
      <xdr:nvSpPr>
        <xdr:cNvPr id="3" name="Text Box 62"/>
        <xdr:cNvSpPr txBox="1">
          <a:spLocks noChangeArrowheads="1"/>
        </xdr:cNvSpPr>
      </xdr:nvSpPr>
      <xdr:spPr>
        <a:xfrm>
          <a:off x="171450" y="3114675"/>
          <a:ext cx="6562725" cy="2190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Times New Roman"/>
              <a:ea typeface="Times New Roman"/>
              <a:cs typeface="Times New Roman"/>
            </a:rPr>
            <a:t>* To evaluate the ingestion and dermal pathways concurrently, check here and input values for </a:t>
          </a:r>
          <a:r>
            <a:rPr lang="en-US" cap="none" sz="1100" b="1" i="1" u="none" baseline="0">
              <a:solidFill>
                <a:srgbClr val="000000"/>
              </a:solidFill>
              <a:latin typeface="Times New Roman"/>
              <a:ea typeface="Times New Roman"/>
              <a:cs typeface="Times New Roman"/>
            </a:rPr>
            <a:t>AF, ABS</a:t>
          </a:r>
          <a:r>
            <a:rPr lang="en-US" cap="none" sz="1100" b="1" i="1" u="none" baseline="-25000">
              <a:solidFill>
                <a:srgbClr val="000000"/>
              </a:solidFill>
              <a:latin typeface="Times New Roman"/>
              <a:ea typeface="Times New Roman"/>
              <a:cs typeface="Times New Roman"/>
            </a:rPr>
            <a:t>d</a:t>
          </a:r>
          <a:r>
            <a:rPr lang="en-US" cap="none" sz="1100" b="1" i="1" u="none" baseline="0">
              <a:solidFill>
                <a:srgbClr val="000000"/>
              </a:solidFill>
              <a:latin typeface="Times New Roman"/>
              <a:ea typeface="Times New Roman"/>
              <a:cs typeface="Times New Roman"/>
            </a:rPr>
            <a:t>, GI</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ermal pathways concurrently, check here and input values for AF, ABSd , GI
</a:t>
          </a:r>
        </a:p>
      </xdr:txBody>
    </xdr:sp>
    <xdr:clientData/>
  </xdr:oneCellAnchor>
  <xdr:oneCellAnchor>
    <xdr:from>
      <xdr:col>2</xdr:col>
      <xdr:colOff>257175</xdr:colOff>
      <xdr:row>80</xdr:row>
      <xdr:rowOff>180975</xdr:rowOff>
    </xdr:from>
    <xdr:ext cx="3962400" cy="381000"/>
    <xdr:sp>
      <xdr:nvSpPr>
        <xdr:cNvPr id="4" name="Text Box 67"/>
        <xdr:cNvSpPr txBox="1">
          <a:spLocks noChangeArrowheads="1"/>
        </xdr:cNvSpPr>
      </xdr:nvSpPr>
      <xdr:spPr>
        <a:xfrm>
          <a:off x="428625" y="7162800"/>
          <a:ext cx="3962400" cy="381000"/>
        </a:xfrm>
        <a:prstGeom prst="rect">
          <a:avLst/>
        </a:prstGeom>
        <a:noFill/>
        <a:ln w="9525" cmpd="sng">
          <a:noFill/>
        </a:ln>
      </xdr:spPr>
      <xdr:txBody>
        <a:bodyPr vertOverflow="clip" wrap="square" lIns="27432" tIns="22860" rIns="0" bIns="22860" anchor="ctr"/>
        <a:p>
          <a:pPr algn="l">
            <a:defRPr/>
          </a:pPr>
          <a:r>
            <a:rPr lang="en-US" cap="none" sz="1100" b="0" i="1" u="none" baseline="0">
              <a:solidFill>
                <a:srgbClr val="FF0000"/>
              </a:solidFill>
              <a:latin typeface="Arial"/>
              <a:ea typeface="Arial"/>
              <a:cs typeface="Arial"/>
            </a:rPr>
            <a:t>*Results from the Groundwater Cleanup Level Worksheet are not automatically transferred into this worksheet.</a:t>
          </a:r>
        </a:p>
      </xdr:txBody>
    </xdr:sp>
    <xdr:clientData/>
  </xdr:oneCellAnchor>
  <xdr:twoCellAnchor>
    <xdr:from>
      <xdr:col>9</xdr:col>
      <xdr:colOff>28575</xdr:colOff>
      <xdr:row>110</xdr:row>
      <xdr:rowOff>381000</xdr:rowOff>
    </xdr:from>
    <xdr:to>
      <xdr:col>20</xdr:col>
      <xdr:colOff>466725</xdr:colOff>
      <xdr:row>114</xdr:row>
      <xdr:rowOff>9525</xdr:rowOff>
    </xdr:to>
    <xdr:sp>
      <xdr:nvSpPr>
        <xdr:cNvPr id="5" name="Text Box 68"/>
        <xdr:cNvSpPr txBox="1">
          <a:spLocks noChangeArrowheads="1"/>
        </xdr:cNvSpPr>
      </xdr:nvSpPr>
      <xdr:spPr>
        <a:xfrm>
          <a:off x="4772025" y="12639675"/>
          <a:ext cx="3905250" cy="819150"/>
        </a:xfrm>
        <a:prstGeom prst="rect">
          <a:avLst/>
        </a:prstGeom>
        <a:solidFill>
          <a:srgbClr val="CCFFFF"/>
        </a:solidFill>
        <a:ln w="9525" cmpd="sng">
          <a:noFill/>
        </a:ln>
      </xdr:spPr>
      <xdr:txBody>
        <a:bodyPr vertOverflow="clip" wrap="square" lIns="27432" tIns="22860" rIns="0" bIns="0"/>
        <a:p>
          <a:pPr algn="l">
            <a:defRPr/>
          </a:pPr>
          <a:r>
            <a:rPr lang="en-US" cap="none" sz="1100" b="1" i="1" u="none" baseline="0">
              <a:solidFill>
                <a:srgbClr val="000000"/>
              </a:solidFill>
              <a:latin typeface="Arial"/>
              <a:ea typeface="Arial"/>
              <a:cs typeface="Arial"/>
            </a:rPr>
            <a:t>C</a:t>
          </a:r>
          <a:r>
            <a:rPr lang="en-US" cap="none" sz="1100" b="1" i="1" u="none" baseline="-25000">
              <a:solidFill>
                <a:srgbClr val="000000"/>
              </a:solidFill>
              <a:latin typeface="Arial"/>
              <a:ea typeface="Arial"/>
              <a:cs typeface="Arial"/>
            </a:rPr>
            <a:t>sat</a:t>
          </a:r>
          <a:r>
            <a:rPr lang="en-US" cap="none" sz="1100" b="0" i="0" u="none" baseline="-25000">
              <a:solidFill>
                <a:srgbClr val="000000"/>
              </a:solidFill>
              <a:latin typeface="Arial"/>
              <a:ea typeface="Arial"/>
              <a:cs typeface="Arial"/>
            </a:rPr>
            <a:t> </a:t>
          </a:r>
          <a:r>
            <a:rPr lang="en-US" cap="none" sz="1100" b="0" i="0" u="none" baseline="0">
              <a:solidFill>
                <a:srgbClr val="000000"/>
              </a:solidFill>
              <a:latin typeface="Arial"/>
              <a:ea typeface="Arial"/>
              <a:cs typeface="Arial"/>
            </a:rPr>
            <a:t>corresponds to the total soil chemical concentration  
</a:t>
          </a:r>
          <a:r>
            <a:rPr lang="en-US" cap="none" sz="1100" b="0" i="0" u="none" baseline="0">
              <a:solidFill>
                <a:srgbClr val="000000"/>
              </a:solidFill>
              <a:latin typeface="Arial"/>
              <a:ea typeface="Arial"/>
              <a:cs typeface="Arial"/>
            </a:rPr>
            <a:t>        saturated in soil.
</a:t>
          </a:r>
          <a:r>
            <a:rPr lang="en-US" cap="none" sz="1100" b="1" i="1" u="none" baseline="0">
              <a:solidFill>
                <a:srgbClr val="000000"/>
              </a:solidFill>
              <a:latin typeface="Arial"/>
              <a:ea typeface="Arial"/>
              <a:cs typeface="Arial"/>
            </a:rPr>
            <a:t>R</a:t>
          </a:r>
          <a:r>
            <a:rPr lang="en-US" cap="none" sz="1100" b="0" i="0" u="none" baseline="0">
              <a:solidFill>
                <a:srgbClr val="000000"/>
              </a:solidFill>
              <a:latin typeface="Arial"/>
              <a:ea typeface="Arial"/>
              <a:cs typeface="Arial"/>
            </a:rPr>
            <a:t> is the ratio of the ground water flow velocity to the 
</a:t>
          </a:r>
          <a:r>
            <a:rPr lang="en-US" cap="none" sz="1100" b="0" i="0" u="none" baseline="0">
              <a:solidFill>
                <a:srgbClr val="000000"/>
              </a:solidFill>
              <a:latin typeface="Arial"/>
              <a:ea typeface="Arial"/>
              <a:cs typeface="Arial"/>
            </a:rPr>
            <a:t>        contaminant migration velocity in saturated zone. </a:t>
          </a:r>
          <a:r>
            <a:rPr lang="en-US" cap="none" sz="1000" b="0" i="0" u="none" baseline="0">
              <a:solidFill>
                <a:srgbClr val="000000"/>
              </a:solidFill>
              <a:latin typeface="Arial"/>
              <a:ea typeface="Arial"/>
              <a:cs typeface="Arial"/>
            </a:rPr>
            <a:t>
</a:t>
          </a:r>
        </a:p>
      </xdr:txBody>
    </xdr:sp>
    <xdr:clientData/>
  </xdr:twoCellAnchor>
  <xdr:oneCellAnchor>
    <xdr:from>
      <xdr:col>2</xdr:col>
      <xdr:colOff>28575</xdr:colOff>
      <xdr:row>104</xdr:row>
      <xdr:rowOff>190500</xdr:rowOff>
    </xdr:from>
    <xdr:ext cx="5648325" cy="219075"/>
    <xdr:sp>
      <xdr:nvSpPr>
        <xdr:cNvPr id="6" name="Text Box 69"/>
        <xdr:cNvSpPr txBox="1">
          <a:spLocks noChangeArrowheads="1"/>
        </xdr:cNvSpPr>
      </xdr:nvSpPr>
      <xdr:spPr>
        <a:xfrm>
          <a:off x="200025" y="10734675"/>
          <a:ext cx="5648325" cy="219075"/>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To calculate a soil concentration based on Method C vapor pathway, check here:
</a:t>
          </a:r>
          <a:r>
            <a:rPr lang="en-US" cap="none" sz="1200" b="0" i="0" u="none" baseline="0">
              <a:solidFill>
                <a:srgbClr val="000000"/>
              </a:solidFill>
              <a:latin typeface="Times New Roman"/>
              <a:ea typeface="Times New Roman"/>
              <a:cs typeface="Times New Roman"/>
            </a:rPr>
            <a:t> industrial land use, check here.
</a:t>
          </a:r>
        </a:p>
      </xdr:txBody>
    </xdr:sp>
    <xdr:clientData/>
  </xdr:oneCellAnchor>
  <xdr:twoCellAnchor>
    <xdr:from>
      <xdr:col>0</xdr:col>
      <xdr:colOff>38100</xdr:colOff>
      <xdr:row>104</xdr:row>
      <xdr:rowOff>295275</xdr:rowOff>
    </xdr:from>
    <xdr:to>
      <xdr:col>2</xdr:col>
      <xdr:colOff>38100</xdr:colOff>
      <xdr:row>104</xdr:row>
      <xdr:rowOff>295275</xdr:rowOff>
    </xdr:to>
    <xdr:sp>
      <xdr:nvSpPr>
        <xdr:cNvPr id="7" name="Line 72"/>
        <xdr:cNvSpPr>
          <a:spLocks/>
        </xdr:cNvSpPr>
      </xdr:nvSpPr>
      <xdr:spPr>
        <a:xfrm>
          <a:off x="38100" y="108394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104</xdr:row>
      <xdr:rowOff>295275</xdr:rowOff>
    </xdr:from>
    <xdr:to>
      <xdr:col>0</xdr:col>
      <xdr:colOff>28575</xdr:colOff>
      <xdr:row>111</xdr:row>
      <xdr:rowOff>190500</xdr:rowOff>
    </xdr:to>
    <xdr:sp>
      <xdr:nvSpPr>
        <xdr:cNvPr id="8" name="Line 73"/>
        <xdr:cNvSpPr>
          <a:spLocks/>
        </xdr:cNvSpPr>
      </xdr:nvSpPr>
      <xdr:spPr>
        <a:xfrm>
          <a:off x="28575" y="10839450"/>
          <a:ext cx="0"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111</xdr:row>
      <xdr:rowOff>190500</xdr:rowOff>
    </xdr:from>
    <xdr:to>
      <xdr:col>1</xdr:col>
      <xdr:colOff>85725</xdr:colOff>
      <xdr:row>111</xdr:row>
      <xdr:rowOff>190500</xdr:rowOff>
    </xdr:to>
    <xdr:sp>
      <xdr:nvSpPr>
        <xdr:cNvPr id="9" name="Line 75"/>
        <xdr:cNvSpPr>
          <a:spLocks/>
        </xdr:cNvSpPr>
      </xdr:nvSpPr>
      <xdr:spPr>
        <a:xfrm>
          <a:off x="28575" y="12887325"/>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66675</xdr:colOff>
      <xdr:row>10</xdr:row>
      <xdr:rowOff>104775</xdr:rowOff>
    </xdr:from>
    <xdr:ext cx="2619375" cy="4305300"/>
    <xdr:sp>
      <xdr:nvSpPr>
        <xdr:cNvPr id="1" name="Text Box 7"/>
        <xdr:cNvSpPr txBox="1">
          <a:spLocks noChangeArrowheads="1"/>
        </xdr:cNvSpPr>
      </xdr:nvSpPr>
      <xdr:spPr>
        <a:xfrm>
          <a:off x="5972175" y="2390775"/>
          <a:ext cx="2619375" cy="4305300"/>
        </a:xfrm>
        <a:prstGeom prst="rect">
          <a:avLst/>
        </a:prstGeom>
        <a:noFill/>
        <a:ln w="9525" cmpd="sng">
          <a:noFill/>
        </a:ln>
      </xdr:spPr>
      <xdr:txBody>
        <a:bodyPr vertOverflow="clip" wrap="square" lIns="36576" tIns="27432" rIns="36576" bIns="0"/>
        <a:p>
          <a:pPr algn="just">
            <a:defRPr/>
          </a:pPr>
          <a:r>
            <a:rPr lang="en-US" cap="none" sz="1300" b="1" i="0" u="none" baseline="0">
              <a:solidFill>
                <a:srgbClr val="FF0000"/>
              </a:solidFill>
              <a:latin typeface="Times New Roman"/>
              <a:ea typeface="Times New Roman"/>
              <a:cs typeface="Times New Roman"/>
            </a:rPr>
            <a:t>CAUTION:</a:t>
          </a:r>
          <a:r>
            <a:rPr lang="en-US" cap="none" sz="1300" b="0" i="0" u="none" baseline="0">
              <a:solidFill>
                <a:srgbClr val="FF0000"/>
              </a:solidFill>
              <a:latin typeface="Times New Roman"/>
              <a:ea typeface="Times New Roman"/>
              <a:cs typeface="Times New Roman"/>
            </a:rPr>
            <a:t> The requirements and procedures for establishing ground water cleanup levels that are protective of human health and the environment are specified in the MTCA Cleanup Regulation (see WAC 173-340-720).  The use of this Workbook is not sufficient to establish ground water cleanup levels under the regulation.  Specifically, the ground water cleanup levels derived using this Workbook do not account for the following:      
</a:t>
          </a:r>
          <a:r>
            <a:rPr lang="en-US" cap="none" sz="1300" b="0" i="0" u="none" baseline="0">
              <a:solidFill>
                <a:srgbClr val="FF0000"/>
              </a:solidFill>
              <a:latin typeface="Times New Roman"/>
              <a:ea typeface="Times New Roman"/>
              <a:cs typeface="Times New Roman"/>
            </a:rPr>
            <a:t>    *Surface water impacts (see WAC 173-340-720(4)(b)(ii) and (5)(b)(ii));
</a:t>
          </a:r>
          <a:r>
            <a:rPr lang="en-US" cap="none" sz="1300" b="0" i="0" u="none" baseline="0">
              <a:solidFill>
                <a:srgbClr val="FF0000"/>
              </a:solidFill>
              <a:latin typeface="Times New Roman"/>
              <a:ea typeface="Times New Roman"/>
              <a:cs typeface="Times New Roman"/>
            </a:rPr>
            <a:t>    *Total site risk (see WAC 173-340-720(7)(a)); and
</a:t>
          </a:r>
          <a:r>
            <a:rPr lang="en-US" cap="none" sz="1300" b="0" i="0" u="none" baseline="0">
              <a:solidFill>
                <a:srgbClr val="FF0000"/>
              </a:solidFill>
              <a:latin typeface="Times New Roman"/>
              <a:ea typeface="Times New Roman"/>
              <a:cs typeface="Times New Roman"/>
            </a:rPr>
            <a:t>     *Nonaqueous phase liquid (NAPL) limitation (see WAC 173-340-720(7)(d)).  
</a:t>
          </a:r>
          <a:r>
            <a:rPr lang="en-US" cap="none" sz="1300" b="0" i="0" u="none" baseline="0">
              <a:solidFill>
                <a:srgbClr val="FF0000"/>
              </a:solidFill>
              <a:latin typeface="Times New Roman"/>
              <a:ea typeface="Times New Roman"/>
              <a:cs typeface="Times New Roman"/>
            </a:rPr>
            <a:t>
</a:t>
          </a:r>
          <a:r>
            <a:rPr lang="en-US" cap="none" sz="1300" b="0" i="0" u="none" baseline="0">
              <a:solidFill>
                <a:srgbClr val="FF0000"/>
              </a:solidFill>
              <a:latin typeface="Times New Roman"/>
              <a:ea typeface="Times New Roman"/>
              <a:cs typeface="Times New Roman"/>
            </a:rPr>
            <a:t>
</a:t>
          </a:r>
          <a:r>
            <a:rPr lang="en-US" cap="none" sz="1300" b="0" i="0" u="none" baseline="0">
              <a:solidFill>
                <a:srgbClr val="FF0000"/>
              </a:solidFill>
              <a:latin typeface="Times New Roman"/>
              <a:ea typeface="Times New Roman"/>
              <a:cs typeface="Times New Roman"/>
            </a:rPr>
            <a:t>
</a:t>
          </a:r>
        </a:p>
      </xdr:txBody>
    </xdr:sp>
    <xdr:clientData/>
  </xdr:oneCellAnchor>
  <xdr:oneCellAnchor>
    <xdr:from>
      <xdr:col>0</xdr:col>
      <xdr:colOff>38100</xdr:colOff>
      <xdr:row>7</xdr:row>
      <xdr:rowOff>0</xdr:rowOff>
    </xdr:from>
    <xdr:ext cx="6276975" cy="657225"/>
    <xdr:sp>
      <xdr:nvSpPr>
        <xdr:cNvPr id="2" name="Text Box 10"/>
        <xdr:cNvSpPr txBox="1">
          <a:spLocks noChangeArrowheads="1"/>
        </xdr:cNvSpPr>
      </xdr:nvSpPr>
      <xdr:spPr>
        <a:xfrm>
          <a:off x="38100" y="1162050"/>
          <a:ext cx="6276975" cy="657225"/>
        </a:xfrm>
        <a:prstGeom prst="rect">
          <a:avLst/>
        </a:prstGeom>
        <a:noFill/>
        <a:ln w="9525" cmpd="sng">
          <a:noFill/>
        </a:ln>
      </xdr:spPr>
      <xdr:txBody>
        <a:bodyPr vertOverflow="clip" wrap="square" lIns="27432" tIns="27432" rIns="0" bIns="0"/>
        <a:p>
          <a:pPr algn="l">
            <a:defRPr/>
          </a:pPr>
          <a:r>
            <a:rPr lang="en-US" cap="none" sz="1200" b="1" i="0" u="none" baseline="0">
              <a:solidFill>
                <a:srgbClr val="993366"/>
              </a:solidFill>
            </a:rPr>
            <a:t>Note: To calculate a soil concentration that is protective of groundwater, enter manually the groundwater cleanup level (adjusted for surface water impacts, total site risk, and NAPL limitation) in the applicable cell in the soil cleanup level worksheet.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tateofwa-my.sharepoint.com/personal/akal461_ecy_wa_gov/Documents/_MTCA/_Petroleum%20Hydrocarbons/_MTCA%20Spreadsheets/MTCA%20SLG%20Speadsheet/SGL11\MTCATPH_prev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tateofwa-my.sharepoint.com/personal/akal461_ecy_wa_gov/Documents/_MTCA/_Petroleum%20Hydrocarbons/_MTCA%20Spreadsheets/MTCA%20SLG%20Speadsheet/SGL11\MTCATPH_PREV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stateofwa-my.sharepoint.com/personal/akal461_ecy_wa_gov/Documents/_MTCA/_Petroleum%20Hydrocarbons/_MTCA%20Spreadsheets/MTCA%20SLG%20Speadsheet/SGL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oice"/>
      <sheetName val="GW_CLU"/>
      <sheetName val="DC_InputOutput"/>
      <sheetName val="Chemical List"/>
      <sheetName val="Title"/>
      <sheetName val="MainForm"/>
      <sheetName val="Soil-to-GroundWater"/>
      <sheetName val="Soil_vapor"/>
      <sheetName val="InputOutput"/>
      <sheetName val="SelectChem2"/>
      <sheetName val="MassDistPhase"/>
      <sheetName val="EC Distribution Graph"/>
      <sheetName val="EC_Mass Dist"/>
      <sheetName val="Study_graph"/>
      <sheetName val="Study"/>
      <sheetName val=" Defaults Fuel Comp"/>
      <sheetName val="Help"/>
      <sheetName val="Module26"/>
      <sheetName val="MTCATPH_prev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Help"/>
      <sheetName val="Module26"/>
    </sheetNames>
    <definedNames>
      <definedName name="default_fuel"/>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cols>
    <col min="1" max="16384" width="0.9921875" style="1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cols>
    <col min="1" max="16384" width="0.9921875" style="1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cols>
    <col min="1" max="16384" width="0.9921875" style="1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cols>
    <col min="1" max="16384" width="0.9921875" style="144" customWidth="1"/>
  </cols>
  <sheetData/>
  <sheetProtection sheet="1"/>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5.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cols>
    <col min="1" max="16384" width="0.9921875" style="144"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9"/>
  <dimension ref="A1:I32"/>
  <sheetViews>
    <sheetView showGridLines="0" showRowColHeaders="0" zoomScale="248" zoomScaleNormal="248" zoomScaleSheetLayoutView="85" zoomScalePageLayoutView="0" workbookViewId="0" topLeftCell="B11">
      <selection activeCell="C24" sqref="C24"/>
    </sheetView>
  </sheetViews>
  <sheetFormatPr defaultColWidth="9.140625" defaultRowHeight="12.75"/>
  <cols>
    <col min="1" max="1" width="1.1484375" style="318" customWidth="1"/>
    <col min="2" max="2" width="4.7109375" style="0" customWidth="1"/>
    <col min="3" max="3" width="14.28125" style="0" customWidth="1"/>
    <col min="4" max="4" width="24.00390625" style="0" customWidth="1"/>
    <col min="5" max="5" width="25.421875" style="0" customWidth="1"/>
    <col min="6" max="6" width="26.8515625" style="0" customWidth="1"/>
    <col min="8" max="8" width="4.57421875" style="0" customWidth="1"/>
    <col min="9" max="9" width="5.7109375" style="0" customWidth="1"/>
    <col min="10" max="10" width="4.421875" style="318" customWidth="1"/>
    <col min="11" max="14" width="8.8515625" style="318" customWidth="1"/>
  </cols>
  <sheetData>
    <row r="1" spans="1:9" ht="12.75">
      <c r="A1" s="1"/>
      <c r="B1" s="1"/>
      <c r="C1" s="1"/>
      <c r="D1" s="1"/>
      <c r="E1" s="1"/>
      <c r="F1" s="1"/>
      <c r="G1" s="1"/>
      <c r="H1" s="1"/>
      <c r="I1" s="1"/>
    </row>
    <row r="2" spans="1:9" ht="12.75">
      <c r="A2" s="1"/>
      <c r="B2" s="2"/>
      <c r="C2" s="2"/>
      <c r="D2" s="2"/>
      <c r="E2" s="2"/>
      <c r="F2" s="2"/>
      <c r="G2" s="2"/>
      <c r="H2" s="2"/>
      <c r="I2" s="1"/>
    </row>
    <row r="3" spans="1:9" ht="3.75" customHeight="1">
      <c r="A3" s="1"/>
      <c r="B3" s="2"/>
      <c r="C3" s="1"/>
      <c r="D3" s="1"/>
      <c r="E3" s="1"/>
      <c r="F3" s="1"/>
      <c r="G3" s="1"/>
      <c r="H3" s="2"/>
      <c r="I3" s="1"/>
    </row>
    <row r="4" spans="1:9" ht="15.75" customHeight="1">
      <c r="A4" s="1"/>
      <c r="B4" s="2"/>
      <c r="C4" s="3"/>
      <c r="D4" s="4"/>
      <c r="E4" s="5" t="s">
        <v>126</v>
      </c>
      <c r="F4" s="3"/>
      <c r="G4" s="3"/>
      <c r="H4" s="2"/>
      <c r="I4" s="1"/>
    </row>
    <row r="5" spans="1:9" ht="17.25" customHeight="1">
      <c r="A5" s="1"/>
      <c r="B5" s="2"/>
      <c r="C5" s="3"/>
      <c r="D5" s="3"/>
      <c r="E5" s="5" t="s">
        <v>127</v>
      </c>
      <c r="F5" s="3"/>
      <c r="G5" s="3"/>
      <c r="H5" s="2"/>
      <c r="I5" s="1"/>
    </row>
    <row r="6" spans="1:9" ht="2.25" customHeight="1">
      <c r="A6" s="1"/>
      <c r="B6" s="2"/>
      <c r="C6" s="3"/>
      <c r="D6" s="3"/>
      <c r="E6" s="6"/>
      <c r="F6" s="3"/>
      <c r="G6" s="3"/>
      <c r="H6" s="2"/>
      <c r="I6" s="1"/>
    </row>
    <row r="7" spans="1:9" ht="2.25" customHeight="1">
      <c r="A7" s="1"/>
      <c r="B7" s="2"/>
      <c r="C7" s="3"/>
      <c r="D7" s="3"/>
      <c r="E7" s="7"/>
      <c r="F7" s="3"/>
      <c r="G7" s="3"/>
      <c r="H7" s="2"/>
      <c r="I7" s="1"/>
    </row>
    <row r="8" spans="1:9" ht="15.75" customHeight="1">
      <c r="A8" s="1"/>
      <c r="B8" s="2"/>
      <c r="C8" s="350" t="s">
        <v>128</v>
      </c>
      <c r="D8" s="351"/>
      <c r="E8" s="351"/>
      <c r="F8" s="351"/>
      <c r="G8" s="351"/>
      <c r="H8" s="2"/>
      <c r="I8" s="1"/>
    </row>
    <row r="9" spans="1:9" ht="16.5" customHeight="1">
      <c r="A9" s="1"/>
      <c r="B9" s="2"/>
      <c r="C9" s="8"/>
      <c r="D9" s="9"/>
      <c r="E9" s="10"/>
      <c r="F9" s="1"/>
      <c r="G9" s="1"/>
      <c r="H9" s="2"/>
      <c r="I9" s="1"/>
    </row>
    <row r="10" spans="1:9" ht="12.75">
      <c r="A10" s="1"/>
      <c r="B10" s="2"/>
      <c r="C10" s="8"/>
      <c r="D10" s="9"/>
      <c r="E10" s="7"/>
      <c r="F10" s="1"/>
      <c r="G10" s="1"/>
      <c r="H10" s="2"/>
      <c r="I10" s="1"/>
    </row>
    <row r="11" spans="1:9" ht="12.75">
      <c r="A11" s="1"/>
      <c r="B11" s="2"/>
      <c r="C11" s="9"/>
      <c r="D11" s="11"/>
      <c r="E11" s="12"/>
      <c r="F11" s="1"/>
      <c r="G11" s="1"/>
      <c r="H11" s="2"/>
      <c r="I11" s="1"/>
    </row>
    <row r="12" spans="1:9" ht="12.75">
      <c r="A12" s="1"/>
      <c r="B12" s="2"/>
      <c r="C12" s="9"/>
      <c r="D12" s="8"/>
      <c r="E12" s="7"/>
      <c r="F12" s="1"/>
      <c r="G12" s="1"/>
      <c r="H12" s="2"/>
      <c r="I12" s="1"/>
    </row>
    <row r="13" spans="1:9" ht="40.5" customHeight="1">
      <c r="A13" s="1"/>
      <c r="B13" s="2"/>
      <c r="C13" s="1"/>
      <c r="D13" s="1"/>
      <c r="E13" s="1"/>
      <c r="F13" s="1"/>
      <c r="G13" s="1"/>
      <c r="H13" s="2"/>
      <c r="I13" s="1"/>
    </row>
    <row r="14" spans="1:9" ht="61.5" customHeight="1">
      <c r="A14" s="1"/>
      <c r="B14" s="2"/>
      <c r="C14" s="1"/>
      <c r="D14" s="1"/>
      <c r="E14" s="1"/>
      <c r="F14" s="1"/>
      <c r="G14" s="1"/>
      <c r="H14" s="2"/>
      <c r="I14" s="1"/>
    </row>
    <row r="15" spans="1:9" ht="27.75" customHeight="1">
      <c r="A15" s="1"/>
      <c r="B15" s="2"/>
      <c r="C15" s="13"/>
      <c r="D15" s="1"/>
      <c r="E15" s="1"/>
      <c r="F15" s="1"/>
      <c r="G15" s="1"/>
      <c r="H15" s="2"/>
      <c r="I15" s="1"/>
    </row>
    <row r="16" spans="1:9" ht="10.5" customHeight="1">
      <c r="A16" s="1"/>
      <c r="B16" s="2"/>
      <c r="C16" s="13"/>
      <c r="D16" s="1"/>
      <c r="E16" s="1"/>
      <c r="F16" s="1"/>
      <c r="G16" s="1"/>
      <c r="H16" s="2"/>
      <c r="I16" s="1"/>
    </row>
    <row r="17" spans="1:9" ht="9" customHeight="1">
      <c r="A17" s="1"/>
      <c r="B17" s="2"/>
      <c r="C17" s="13"/>
      <c r="D17" s="1"/>
      <c r="E17" s="1"/>
      <c r="F17" s="1"/>
      <c r="G17" s="1"/>
      <c r="H17" s="2"/>
      <c r="I17" s="1"/>
    </row>
    <row r="18" spans="1:9" ht="3.75" customHeight="1" hidden="1">
      <c r="A18" s="1"/>
      <c r="B18" s="2"/>
      <c r="C18" s="13"/>
      <c r="D18" s="1"/>
      <c r="E18" s="1"/>
      <c r="F18" s="1"/>
      <c r="G18" s="1"/>
      <c r="H18" s="2"/>
      <c r="I18" s="1"/>
    </row>
    <row r="19" spans="1:9" ht="13.5" customHeight="1" hidden="1">
      <c r="A19" s="1"/>
      <c r="B19" s="2"/>
      <c r="C19" s="13"/>
      <c r="D19" s="1"/>
      <c r="E19" s="1"/>
      <c r="F19" s="1"/>
      <c r="G19" s="1"/>
      <c r="H19" s="2"/>
      <c r="I19" s="1"/>
    </row>
    <row r="20" spans="1:9" ht="12" customHeight="1" hidden="1">
      <c r="A20" s="1"/>
      <c r="B20" s="2"/>
      <c r="C20" s="13"/>
      <c r="D20" s="1"/>
      <c r="E20" s="1"/>
      <c r="F20" s="1"/>
      <c r="G20" s="1"/>
      <c r="H20" s="2"/>
      <c r="I20" s="1"/>
    </row>
    <row r="21" spans="1:9" ht="0.75" customHeight="1">
      <c r="A21" s="1"/>
      <c r="B21" s="2"/>
      <c r="C21" s="14"/>
      <c r="D21" s="1"/>
      <c r="E21" s="1"/>
      <c r="F21" s="1"/>
      <c r="G21" s="1"/>
      <c r="H21" s="2"/>
      <c r="I21" s="1"/>
    </row>
    <row r="22" spans="1:9" ht="12.75">
      <c r="A22" s="1"/>
      <c r="B22" s="2"/>
      <c r="C22" s="456" t="s">
        <v>223</v>
      </c>
      <c r="D22" s="352"/>
      <c r="E22" s="352"/>
      <c r="F22" s="352"/>
      <c r="G22" s="352"/>
      <c r="H22" s="2"/>
      <c r="I22" s="1"/>
    </row>
    <row r="23" spans="1:9" ht="10.5" customHeight="1">
      <c r="A23" s="1"/>
      <c r="B23" s="2"/>
      <c r="C23" s="2"/>
      <c r="D23" s="2"/>
      <c r="E23" s="2"/>
      <c r="F23" s="2"/>
      <c r="G23" s="2"/>
      <c r="H23" s="2"/>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c r="B27" s="1"/>
      <c r="C27" s="1"/>
      <c r="D27" s="1"/>
      <c r="E27" s="1"/>
      <c r="F27" s="1"/>
      <c r="G27" s="1"/>
      <c r="H27" s="1"/>
      <c r="I27" s="1"/>
    </row>
    <row r="28" spans="1:9" ht="12.75">
      <c r="A28" s="1"/>
      <c r="B28" s="1"/>
      <c r="C28" s="1"/>
      <c r="D28" s="1"/>
      <c r="E28" s="1"/>
      <c r="F28" s="1"/>
      <c r="G28" s="1"/>
      <c r="H28" s="1"/>
      <c r="I28" s="1"/>
    </row>
    <row r="29" spans="1:9" ht="12.75">
      <c r="A29" s="1"/>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sheetData>
  <sheetProtection/>
  <mergeCells count="2">
    <mergeCell ref="C8:G8"/>
    <mergeCell ref="C22:G22"/>
  </mergeCells>
  <printOptions/>
  <pageMargins left="0.31" right="0.32" top="1" bottom="1" header="0.46" footer="0.5"/>
  <pageSetup blackAndWhite="1" horizontalDpi="600" verticalDpi="600" orientation="portrait" scale="95" r:id="rId3"/>
  <headerFooter alignWithMargins="0">
    <oddFooter>&amp;C&amp;F&amp;R&amp;D</oddFooter>
  </headerFooter>
  <colBreaks count="1" manualBreakCount="1">
    <brk id="8" max="65535" man="1"/>
  </colBreaks>
  <drawing r:id="rId2"/>
  <legacyDrawing r:id="rId1"/>
</worksheet>
</file>

<file path=xl/worksheets/sheet7.xml><?xml version="1.0" encoding="utf-8"?>
<worksheet xmlns="http://schemas.openxmlformats.org/spreadsheetml/2006/main" xmlns:r="http://schemas.openxmlformats.org/officeDocument/2006/relationships">
  <sheetPr codeName="Sheet1"/>
  <dimension ref="A1:X169"/>
  <sheetViews>
    <sheetView showGridLines="0" showRowColHeaders="0" tabSelected="1" zoomScale="202" zoomScaleNormal="202" zoomScalePageLayoutView="0" workbookViewId="0" topLeftCell="A1">
      <selection activeCell="A2" sqref="A2:U2"/>
    </sheetView>
  </sheetViews>
  <sheetFormatPr defaultColWidth="9.140625" defaultRowHeight="18" customHeight="1"/>
  <cols>
    <col min="1" max="1" width="0.9921875" style="15" customWidth="1"/>
    <col min="2" max="2" width="1.57421875" style="15" customWidth="1"/>
    <col min="3" max="3" width="22.28125" style="15" customWidth="1"/>
    <col min="4" max="4" width="15.140625" style="16" customWidth="1"/>
    <col min="5" max="5" width="7.7109375" style="16" customWidth="1"/>
    <col min="6" max="6" width="12.140625" style="16" customWidth="1"/>
    <col min="7" max="7" width="0.85546875" style="16" customWidth="1"/>
    <col min="8" max="8" width="0.2890625" style="16" customWidth="1"/>
    <col min="9" max="9" width="10.140625" style="16" customWidth="1"/>
    <col min="10" max="10" width="10.421875" style="16" customWidth="1"/>
    <col min="11" max="11" width="9.8515625" style="16" customWidth="1"/>
    <col min="12" max="12" width="10.00390625" style="16" customWidth="1"/>
    <col min="13" max="13" width="0.85546875" style="16" customWidth="1"/>
    <col min="14" max="14" width="0.5625" style="16" hidden="1" customWidth="1"/>
    <col min="15" max="15" width="5.7109375" style="16" hidden="1" customWidth="1"/>
    <col min="16" max="16" width="4.421875" style="16" hidden="1" customWidth="1"/>
    <col min="17" max="17" width="3.8515625" style="16" hidden="1" customWidth="1"/>
    <col min="18" max="18" width="6.140625" style="16" hidden="1" customWidth="1"/>
    <col min="19" max="19" width="8.7109375" style="17" customWidth="1"/>
    <col min="20" max="20" width="12.140625" style="18" customWidth="1"/>
    <col min="21" max="21" width="10.7109375" style="184" customWidth="1"/>
    <col min="22" max="22" width="1.28515625" style="299" customWidth="1"/>
    <col min="23" max="24" width="9.140625" style="299" customWidth="1"/>
    <col min="25" max="16384" width="9.140625" style="15" customWidth="1"/>
  </cols>
  <sheetData>
    <row r="1" spans="1:21" ht="5.25" customHeight="1">
      <c r="A1" s="32"/>
      <c r="B1" s="32"/>
      <c r="C1" s="32"/>
      <c r="D1" s="34"/>
      <c r="E1" s="34"/>
      <c r="F1" s="34"/>
      <c r="G1" s="34"/>
      <c r="H1" s="34"/>
      <c r="I1" s="34"/>
      <c r="J1" s="34"/>
      <c r="K1" s="34"/>
      <c r="L1" s="34"/>
      <c r="M1" s="34"/>
      <c r="N1" s="34"/>
      <c r="O1" s="34"/>
      <c r="P1" s="34"/>
      <c r="Q1" s="34"/>
      <c r="R1" s="34"/>
      <c r="S1" s="35"/>
      <c r="T1" s="72"/>
      <c r="U1" s="95"/>
    </row>
    <row r="2" spans="1:24" s="321" customFormat="1" ht="15" customHeight="1">
      <c r="A2" s="19"/>
      <c r="B2" s="89" t="s">
        <v>129</v>
      </c>
      <c r="C2" s="20"/>
      <c r="D2" s="21"/>
      <c r="E2" s="21"/>
      <c r="F2" s="21"/>
      <c r="G2" s="21"/>
      <c r="H2" s="21"/>
      <c r="I2" s="21"/>
      <c r="J2" s="21"/>
      <c r="K2" s="21"/>
      <c r="L2" s="21"/>
      <c r="M2" s="21"/>
      <c r="N2" s="21"/>
      <c r="O2" s="21"/>
      <c r="P2" s="21"/>
      <c r="Q2" s="21"/>
      <c r="R2" s="21"/>
      <c r="S2" s="22"/>
      <c r="T2" s="23"/>
      <c r="U2" s="185"/>
      <c r="V2" s="300"/>
      <c r="W2" s="300"/>
      <c r="X2" s="300"/>
    </row>
    <row r="3" spans="1:24" s="322" customFormat="1" ht="15.75" customHeight="1">
      <c r="A3" s="24"/>
      <c r="B3" s="25" t="s">
        <v>43</v>
      </c>
      <c r="C3" s="26"/>
      <c r="D3" s="87">
        <v>38944</v>
      </c>
      <c r="E3" s="335"/>
      <c r="F3" s="335"/>
      <c r="G3" s="335"/>
      <c r="H3" s="335"/>
      <c r="I3" s="335"/>
      <c r="J3" s="335"/>
      <c r="K3" s="335"/>
      <c r="L3" s="335"/>
      <c r="M3" s="335"/>
      <c r="N3" s="335"/>
      <c r="O3" s="335"/>
      <c r="P3" s="335"/>
      <c r="Q3" s="335"/>
      <c r="R3" s="335"/>
      <c r="S3" s="336"/>
      <c r="T3" s="27"/>
      <c r="U3" s="185"/>
      <c r="V3" s="301"/>
      <c r="W3" s="301"/>
      <c r="X3" s="301"/>
    </row>
    <row r="4" spans="1:24" s="322" customFormat="1" ht="15.75" customHeight="1">
      <c r="A4" s="24"/>
      <c r="B4" s="25" t="s">
        <v>44</v>
      </c>
      <c r="C4" s="26"/>
      <c r="D4" s="87" t="s">
        <v>87</v>
      </c>
      <c r="E4" s="337"/>
      <c r="F4" s="337"/>
      <c r="G4" s="337"/>
      <c r="H4" s="337"/>
      <c r="I4" s="337"/>
      <c r="J4" s="337"/>
      <c r="K4" s="337"/>
      <c r="L4" s="337"/>
      <c r="M4" s="337"/>
      <c r="N4" s="337"/>
      <c r="O4" s="337"/>
      <c r="P4" s="337"/>
      <c r="Q4" s="337"/>
      <c r="R4" s="337"/>
      <c r="S4" s="336"/>
      <c r="T4" s="27"/>
      <c r="U4" s="185"/>
      <c r="V4" s="301"/>
      <c r="W4" s="301"/>
      <c r="X4" s="301"/>
    </row>
    <row r="5" spans="1:24" s="322" customFormat="1" ht="15.75" customHeight="1">
      <c r="A5" s="24"/>
      <c r="B5" s="28" t="s">
        <v>45</v>
      </c>
      <c r="C5" s="29"/>
      <c r="D5" s="88" t="s">
        <v>74</v>
      </c>
      <c r="E5" s="338"/>
      <c r="F5" s="338"/>
      <c r="G5" s="338"/>
      <c r="H5" s="338"/>
      <c r="I5" s="338"/>
      <c r="J5" s="338"/>
      <c r="K5" s="338"/>
      <c r="L5" s="338"/>
      <c r="M5" s="338"/>
      <c r="N5" s="338"/>
      <c r="O5" s="338"/>
      <c r="P5" s="338"/>
      <c r="Q5" s="338"/>
      <c r="R5" s="338"/>
      <c r="S5" s="339"/>
      <c r="T5" s="27"/>
      <c r="U5" s="185"/>
      <c r="V5" s="301"/>
      <c r="W5" s="301"/>
      <c r="X5" s="301"/>
    </row>
    <row r="6" spans="1:24" s="321" customFormat="1" ht="21" customHeight="1">
      <c r="A6" s="20"/>
      <c r="B6" s="30" t="s">
        <v>98</v>
      </c>
      <c r="C6" s="21"/>
      <c r="D6" s="31"/>
      <c r="E6" s="31"/>
      <c r="F6" s="31"/>
      <c r="G6" s="31"/>
      <c r="H6" s="31"/>
      <c r="I6" s="31"/>
      <c r="J6" s="31"/>
      <c r="K6" s="31"/>
      <c r="L6" s="31"/>
      <c r="M6" s="31"/>
      <c r="N6" s="31"/>
      <c r="O6" s="31"/>
      <c r="P6" s="31"/>
      <c r="Q6" s="31"/>
      <c r="R6" s="31"/>
      <c r="S6" s="22"/>
      <c r="T6" s="27"/>
      <c r="U6" s="185"/>
      <c r="V6" s="300"/>
      <c r="W6" s="300"/>
      <c r="X6" s="300"/>
    </row>
    <row r="7" spans="1:24" s="321" customFormat="1" ht="9" customHeight="1">
      <c r="A7" s="20"/>
      <c r="B7" s="21"/>
      <c r="C7" s="21"/>
      <c r="D7" s="31"/>
      <c r="E7" s="31"/>
      <c r="F7" s="31"/>
      <c r="G7" s="31"/>
      <c r="H7" s="31"/>
      <c r="I7" s="31"/>
      <c r="J7" s="31"/>
      <c r="K7" s="31"/>
      <c r="L7" s="31"/>
      <c r="M7" s="31"/>
      <c r="N7" s="31"/>
      <c r="O7" s="31"/>
      <c r="P7" s="31"/>
      <c r="Q7" s="31"/>
      <c r="R7" s="31"/>
      <c r="S7" s="22"/>
      <c r="T7" s="27"/>
      <c r="U7" s="185"/>
      <c r="V7" s="300"/>
      <c r="W7" s="300"/>
      <c r="X7" s="300"/>
    </row>
    <row r="8" spans="1:24" s="321" customFormat="1" ht="18" customHeight="1">
      <c r="A8" s="20"/>
      <c r="B8" s="298" t="s">
        <v>222</v>
      </c>
      <c r="C8" s="21"/>
      <c r="D8" s="31"/>
      <c r="E8" s="31"/>
      <c r="F8" s="31"/>
      <c r="G8" s="31"/>
      <c r="H8" s="31"/>
      <c r="I8" s="31"/>
      <c r="J8" s="31"/>
      <c r="K8" s="31"/>
      <c r="L8" s="31"/>
      <c r="M8" s="31"/>
      <c r="N8" s="31"/>
      <c r="O8" s="31"/>
      <c r="P8" s="31"/>
      <c r="Q8" s="31"/>
      <c r="R8" s="31"/>
      <c r="S8" s="22"/>
      <c r="T8" s="27"/>
      <c r="U8" s="185"/>
      <c r="V8" s="300"/>
      <c r="W8" s="300"/>
      <c r="X8" s="300"/>
    </row>
    <row r="9" spans="1:21" ht="21" customHeight="1">
      <c r="A9" s="32"/>
      <c r="B9" s="33" t="s">
        <v>130</v>
      </c>
      <c r="C9" s="33"/>
      <c r="D9" s="34"/>
      <c r="E9" s="34"/>
      <c r="F9" s="34"/>
      <c r="G9" s="34"/>
      <c r="H9" s="34"/>
      <c r="I9" s="34"/>
      <c r="J9" s="34"/>
      <c r="K9" s="34"/>
      <c r="L9" s="34"/>
      <c r="M9" s="34"/>
      <c r="N9" s="34"/>
      <c r="O9" s="34"/>
      <c r="P9" s="34"/>
      <c r="Q9" s="34"/>
      <c r="R9" s="34"/>
      <c r="S9" s="35"/>
      <c r="T9" s="36"/>
      <c r="U9" s="46"/>
    </row>
    <row r="10" spans="1:21" ht="18" customHeight="1">
      <c r="A10" s="32"/>
      <c r="B10" s="33"/>
      <c r="C10" s="238" t="s">
        <v>148</v>
      </c>
      <c r="D10" s="34"/>
      <c r="E10" s="34"/>
      <c r="F10" s="34"/>
      <c r="G10" s="34"/>
      <c r="H10" s="34"/>
      <c r="I10" s="34"/>
      <c r="J10" s="34"/>
      <c r="K10" s="34"/>
      <c r="L10" s="34"/>
      <c r="M10" s="34"/>
      <c r="N10" s="34"/>
      <c r="O10" s="34"/>
      <c r="P10" s="34"/>
      <c r="Q10" s="34"/>
      <c r="R10" s="34"/>
      <c r="S10" s="35"/>
      <c r="T10" s="36"/>
      <c r="U10" s="46"/>
    </row>
    <row r="11" spans="1:21" ht="15" customHeight="1" thickBot="1">
      <c r="A11" s="32"/>
      <c r="B11" s="38"/>
      <c r="C11" s="38"/>
      <c r="D11" s="39" t="s">
        <v>52</v>
      </c>
      <c r="E11" s="39"/>
      <c r="F11" s="39"/>
      <c r="G11" s="39"/>
      <c r="H11" s="39"/>
      <c r="I11" s="39"/>
      <c r="J11" s="39"/>
      <c r="K11" s="39"/>
      <c r="L11" s="39"/>
      <c r="M11" s="39"/>
      <c r="N11" s="39"/>
      <c r="O11" s="39"/>
      <c r="P11" s="39"/>
      <c r="Q11" s="39"/>
      <c r="R11" s="39"/>
      <c r="S11" s="39" t="s">
        <v>46</v>
      </c>
      <c r="T11" s="40" t="s">
        <v>47</v>
      </c>
      <c r="U11" s="186" t="s">
        <v>181</v>
      </c>
    </row>
    <row r="12" spans="1:21" ht="15" customHeight="1" thickTop="1">
      <c r="A12" s="32"/>
      <c r="B12" s="41" t="s">
        <v>131</v>
      </c>
      <c r="C12" s="41"/>
      <c r="D12" s="34"/>
      <c r="E12" s="34"/>
      <c r="F12" s="34"/>
      <c r="G12" s="34"/>
      <c r="H12" s="34"/>
      <c r="I12" s="34"/>
      <c r="J12" s="34"/>
      <c r="K12" s="34"/>
      <c r="L12" s="34"/>
      <c r="M12" s="34"/>
      <c r="N12" s="34"/>
      <c r="O12" s="34"/>
      <c r="P12" s="34"/>
      <c r="Q12" s="34"/>
      <c r="R12" s="34"/>
      <c r="S12" s="84"/>
      <c r="T12" s="85"/>
      <c r="U12" s="95"/>
    </row>
    <row r="13" spans="1:21" ht="15" customHeight="1">
      <c r="A13" s="32"/>
      <c r="B13" s="41"/>
      <c r="C13" s="42" t="s">
        <v>191</v>
      </c>
      <c r="D13" s="34"/>
      <c r="E13" s="34"/>
      <c r="F13" s="34"/>
      <c r="G13" s="34"/>
      <c r="H13" s="34"/>
      <c r="I13" s="34"/>
      <c r="J13" s="34"/>
      <c r="K13" s="34"/>
      <c r="L13" s="34"/>
      <c r="M13" s="34"/>
      <c r="N13" s="34"/>
      <c r="O13" s="34"/>
      <c r="P13" s="34"/>
      <c r="Q13" s="34"/>
      <c r="R13" s="34"/>
      <c r="S13" s="43"/>
      <c r="T13" s="297" t="s">
        <v>116</v>
      </c>
      <c r="U13" s="340"/>
    </row>
    <row r="14" spans="1:21" ht="15.75" customHeight="1">
      <c r="A14" s="32"/>
      <c r="B14" s="32"/>
      <c r="C14" s="42" t="s">
        <v>192</v>
      </c>
      <c r="D14" s="34"/>
      <c r="E14" s="34"/>
      <c r="F14" s="34"/>
      <c r="G14" s="34"/>
      <c r="H14" s="34"/>
      <c r="I14" s="34"/>
      <c r="J14" s="34"/>
      <c r="K14" s="34"/>
      <c r="L14" s="34"/>
      <c r="M14" s="34"/>
      <c r="N14" s="34"/>
      <c r="O14" s="34"/>
      <c r="P14" s="34"/>
      <c r="Q14" s="34"/>
      <c r="R14" s="34"/>
      <c r="S14" s="136" t="s">
        <v>99</v>
      </c>
      <c r="T14" s="102">
        <v>5</v>
      </c>
      <c r="U14" s="46" t="s">
        <v>5</v>
      </c>
    </row>
    <row r="15" spans="1:21" ht="15" customHeight="1" hidden="1">
      <c r="A15" s="32"/>
      <c r="B15" s="34"/>
      <c r="C15" s="45" t="s">
        <v>85</v>
      </c>
      <c r="D15" s="34"/>
      <c r="E15" s="34"/>
      <c r="F15" s="34"/>
      <c r="G15" s="34"/>
      <c r="H15" s="34"/>
      <c r="I15" s="34"/>
      <c r="J15" s="34"/>
      <c r="K15" s="34"/>
      <c r="L15" s="34"/>
      <c r="M15" s="34"/>
      <c r="N15" s="34"/>
      <c r="O15" s="34"/>
      <c r="P15" s="34"/>
      <c r="Q15" s="34"/>
      <c r="R15" s="34"/>
      <c r="S15" s="136"/>
      <c r="T15" s="323">
        <v>1</v>
      </c>
      <c r="U15" s="46"/>
    </row>
    <row r="16" spans="1:21" ht="15" customHeight="1" hidden="1">
      <c r="A16" s="32"/>
      <c r="B16" s="34"/>
      <c r="C16" s="45" t="s">
        <v>86</v>
      </c>
      <c r="D16" s="34"/>
      <c r="E16" s="34"/>
      <c r="F16" s="34"/>
      <c r="G16" s="34"/>
      <c r="H16" s="34"/>
      <c r="I16" s="34"/>
      <c r="J16" s="34"/>
      <c r="K16" s="34"/>
      <c r="L16" s="34"/>
      <c r="M16" s="34"/>
      <c r="N16" s="34"/>
      <c r="O16" s="34"/>
      <c r="P16" s="34"/>
      <c r="Q16" s="34"/>
      <c r="R16" s="34"/>
      <c r="S16" s="136"/>
      <c r="T16" s="323">
        <v>1</v>
      </c>
      <c r="U16" s="46"/>
    </row>
    <row r="17" spans="1:21" ht="13.5" customHeight="1" hidden="1">
      <c r="A17" s="32"/>
      <c r="B17" s="34"/>
      <c r="C17" s="45"/>
      <c r="D17" s="34"/>
      <c r="E17" s="34"/>
      <c r="F17" s="34"/>
      <c r="G17" s="34"/>
      <c r="H17" s="34"/>
      <c r="I17" s="34"/>
      <c r="J17" s="34"/>
      <c r="K17" s="34"/>
      <c r="L17" s="34"/>
      <c r="M17" s="34"/>
      <c r="N17" s="34"/>
      <c r="O17" s="34"/>
      <c r="P17" s="34"/>
      <c r="Q17" s="34"/>
      <c r="R17" s="34"/>
      <c r="S17" s="136"/>
      <c r="T17" s="324"/>
      <c r="U17" s="46"/>
    </row>
    <row r="18" spans="1:21" ht="15" customHeight="1" hidden="1">
      <c r="A18" s="32"/>
      <c r="B18" s="34"/>
      <c r="C18" s="42" t="s">
        <v>91</v>
      </c>
      <c r="D18" s="34"/>
      <c r="E18" s="34"/>
      <c r="F18" s="34"/>
      <c r="G18" s="34"/>
      <c r="H18" s="34"/>
      <c r="I18" s="34"/>
      <c r="J18" s="34"/>
      <c r="K18" s="34"/>
      <c r="L18" s="34"/>
      <c r="M18" s="34"/>
      <c r="N18" s="34"/>
      <c r="O18" s="34"/>
      <c r="P18" s="34"/>
      <c r="Q18" s="34"/>
      <c r="R18" s="34"/>
      <c r="S18" s="136"/>
      <c r="T18" s="323">
        <v>0</v>
      </c>
      <c r="U18" s="46"/>
    </row>
    <row r="19" spans="1:21" ht="15" customHeight="1">
      <c r="A19" s="32"/>
      <c r="B19" s="34"/>
      <c r="C19" s="42" t="s">
        <v>193</v>
      </c>
      <c r="D19" s="34"/>
      <c r="E19" s="34"/>
      <c r="F19" s="34"/>
      <c r="G19" s="34"/>
      <c r="H19" s="34"/>
      <c r="I19" s="34"/>
      <c r="J19" s="34"/>
      <c r="K19" s="34"/>
      <c r="L19" s="34"/>
      <c r="M19" s="34"/>
      <c r="N19" s="34"/>
      <c r="O19" s="34"/>
      <c r="P19" s="34"/>
      <c r="Q19" s="34"/>
      <c r="R19" s="34"/>
      <c r="S19" s="136" t="s">
        <v>119</v>
      </c>
      <c r="T19" s="103"/>
      <c r="U19" s="46" t="s">
        <v>5</v>
      </c>
    </row>
    <row r="20" spans="1:21" ht="15" customHeight="1">
      <c r="A20" s="32"/>
      <c r="B20" s="34"/>
      <c r="C20" s="42" t="s">
        <v>194</v>
      </c>
      <c r="D20" s="34"/>
      <c r="E20" s="34"/>
      <c r="F20" s="34"/>
      <c r="G20" s="34"/>
      <c r="H20" s="34"/>
      <c r="I20" s="34"/>
      <c r="J20" s="34"/>
      <c r="K20" s="34"/>
      <c r="L20" s="34"/>
      <c r="M20" s="34"/>
      <c r="N20" s="34"/>
      <c r="O20" s="34"/>
      <c r="P20" s="34"/>
      <c r="Q20" s="34"/>
      <c r="R20" s="34"/>
      <c r="S20" s="136" t="s">
        <v>115</v>
      </c>
      <c r="T20" s="103">
        <v>0.002</v>
      </c>
      <c r="U20" s="46" t="s">
        <v>5</v>
      </c>
    </row>
    <row r="21" spans="1:21" ht="15" customHeight="1">
      <c r="A21" s="32"/>
      <c r="B21" s="34"/>
      <c r="C21" s="42"/>
      <c r="D21" s="34"/>
      <c r="E21" s="34"/>
      <c r="F21" s="34"/>
      <c r="G21" s="34"/>
      <c r="H21" s="34"/>
      <c r="I21" s="34"/>
      <c r="J21" s="34"/>
      <c r="K21" s="34"/>
      <c r="L21" s="34"/>
      <c r="M21" s="34"/>
      <c r="N21" s="34"/>
      <c r="O21" s="34"/>
      <c r="P21" s="34"/>
      <c r="Q21" s="34"/>
      <c r="R21" s="34"/>
      <c r="S21" s="43"/>
      <c r="T21" s="325"/>
      <c r="U21" s="46"/>
    </row>
    <row r="22" spans="1:24" s="326" customFormat="1" ht="15" customHeight="1">
      <c r="A22" s="114"/>
      <c r="B22" s="115" t="s">
        <v>166</v>
      </c>
      <c r="C22" s="115"/>
      <c r="D22" s="116"/>
      <c r="E22" s="116"/>
      <c r="F22" s="116"/>
      <c r="G22" s="116"/>
      <c r="H22" s="116"/>
      <c r="I22" s="116"/>
      <c r="J22" s="116"/>
      <c r="K22" s="116"/>
      <c r="L22" s="116"/>
      <c r="M22" s="116"/>
      <c r="N22" s="116"/>
      <c r="O22" s="116"/>
      <c r="P22" s="116"/>
      <c r="Q22" s="116"/>
      <c r="R22" s="116"/>
      <c r="S22" s="136"/>
      <c r="T22" s="172"/>
      <c r="U22" s="117"/>
      <c r="V22" s="302"/>
      <c r="W22" s="302"/>
      <c r="X22" s="302"/>
    </row>
    <row r="23" spans="1:24" s="326" customFormat="1" ht="15" customHeight="1">
      <c r="A23" s="114"/>
      <c r="B23" s="114"/>
      <c r="C23" s="173" t="s">
        <v>195</v>
      </c>
      <c r="D23" s="116"/>
      <c r="E23" s="116"/>
      <c r="F23" s="116"/>
      <c r="G23" s="116"/>
      <c r="H23" s="116"/>
      <c r="I23" s="116"/>
      <c r="J23" s="116"/>
      <c r="K23" s="116"/>
      <c r="L23" s="116"/>
      <c r="M23" s="116"/>
      <c r="N23" s="116"/>
      <c r="O23" s="116"/>
      <c r="P23" s="116"/>
      <c r="Q23" s="116"/>
      <c r="R23" s="116"/>
      <c r="S23" s="136" t="s">
        <v>100</v>
      </c>
      <c r="T23" s="104">
        <v>0.0005</v>
      </c>
      <c r="U23" s="117" t="s">
        <v>19</v>
      </c>
      <c r="V23" s="302"/>
      <c r="W23" s="302"/>
      <c r="X23" s="302"/>
    </row>
    <row r="24" spans="1:24" s="326" customFormat="1" ht="15" customHeight="1">
      <c r="A24" s="114"/>
      <c r="B24" s="114"/>
      <c r="C24" s="123" t="s">
        <v>196</v>
      </c>
      <c r="D24" s="116"/>
      <c r="E24" s="52"/>
      <c r="F24" s="52"/>
      <c r="G24" s="52"/>
      <c r="H24" s="52"/>
      <c r="I24" s="52"/>
      <c r="J24" s="52"/>
      <c r="K24" s="52"/>
      <c r="L24" s="52"/>
      <c r="M24" s="52"/>
      <c r="N24" s="52"/>
      <c r="O24" s="52"/>
      <c r="P24" s="52"/>
      <c r="Q24" s="52"/>
      <c r="R24" s="52"/>
      <c r="S24" s="136" t="s">
        <v>102</v>
      </c>
      <c r="T24" s="104">
        <v>0.34</v>
      </c>
      <c r="U24" s="51" t="s">
        <v>20</v>
      </c>
      <c r="V24" s="302"/>
      <c r="W24" s="302"/>
      <c r="X24" s="302"/>
    </row>
    <row r="25" spans="1:24" s="326" customFormat="1" ht="15" customHeight="1">
      <c r="A25" s="114"/>
      <c r="B25" s="114"/>
      <c r="C25" s="173" t="s">
        <v>197</v>
      </c>
      <c r="D25" s="116"/>
      <c r="E25" s="116"/>
      <c r="F25" s="116"/>
      <c r="G25" s="116"/>
      <c r="H25" s="116"/>
      <c r="I25" s="116"/>
      <c r="J25" s="116"/>
      <c r="K25" s="116"/>
      <c r="L25" s="116"/>
      <c r="M25" s="116"/>
      <c r="N25" s="116"/>
      <c r="O25" s="116"/>
      <c r="P25" s="116"/>
      <c r="Q25" s="116"/>
      <c r="R25" s="116"/>
      <c r="S25" s="136" t="s">
        <v>101</v>
      </c>
      <c r="T25" s="104"/>
      <c r="U25" s="117" t="s">
        <v>19</v>
      </c>
      <c r="V25" s="302"/>
      <c r="W25" s="302"/>
      <c r="X25" s="302"/>
    </row>
    <row r="26" spans="1:24" s="326" customFormat="1" ht="15" customHeight="1">
      <c r="A26" s="114"/>
      <c r="B26" s="114"/>
      <c r="C26" s="123" t="s">
        <v>198</v>
      </c>
      <c r="D26" s="116"/>
      <c r="E26" s="52"/>
      <c r="F26" s="52"/>
      <c r="G26" s="52"/>
      <c r="H26" s="52"/>
      <c r="I26" s="52"/>
      <c r="J26" s="52"/>
      <c r="K26" s="52"/>
      <c r="L26" s="52"/>
      <c r="M26" s="52"/>
      <c r="N26" s="52"/>
      <c r="O26" s="52"/>
      <c r="P26" s="52"/>
      <c r="Q26" s="52"/>
      <c r="R26" s="52"/>
      <c r="S26" s="136" t="s">
        <v>103</v>
      </c>
      <c r="T26" s="104">
        <v>0.34</v>
      </c>
      <c r="U26" s="51" t="s">
        <v>20</v>
      </c>
      <c r="V26" s="302"/>
      <c r="W26" s="302"/>
      <c r="X26" s="302"/>
    </row>
    <row r="27" spans="1:24" s="326" customFormat="1" ht="15" customHeight="1" hidden="1">
      <c r="A27" s="114"/>
      <c r="B27" s="114"/>
      <c r="C27" s="116" t="s">
        <v>27</v>
      </c>
      <c r="D27" s="116"/>
      <c r="E27" s="116"/>
      <c r="F27" s="116"/>
      <c r="G27" s="116"/>
      <c r="H27" s="116"/>
      <c r="I27" s="116"/>
      <c r="J27" s="116"/>
      <c r="K27" s="116"/>
      <c r="L27" s="116"/>
      <c r="M27" s="116"/>
      <c r="N27" s="116"/>
      <c r="O27" s="116"/>
      <c r="P27" s="116"/>
      <c r="Q27" s="116"/>
      <c r="R27" s="116"/>
      <c r="S27" s="136" t="s">
        <v>7</v>
      </c>
      <c r="T27" s="327">
        <v>16</v>
      </c>
      <c r="U27" s="117" t="s">
        <v>6</v>
      </c>
      <c r="V27" s="302"/>
      <c r="W27" s="302"/>
      <c r="X27" s="302"/>
    </row>
    <row r="28" spans="1:24" s="326" customFormat="1" ht="15" customHeight="1" hidden="1">
      <c r="A28" s="114"/>
      <c r="B28" s="118"/>
      <c r="C28" s="116" t="s">
        <v>29</v>
      </c>
      <c r="D28" s="116"/>
      <c r="E28" s="116"/>
      <c r="F28" s="116"/>
      <c r="G28" s="116"/>
      <c r="H28" s="116"/>
      <c r="I28" s="116"/>
      <c r="J28" s="116"/>
      <c r="K28" s="116"/>
      <c r="L28" s="116"/>
      <c r="M28" s="116"/>
      <c r="N28" s="116"/>
      <c r="O28" s="116"/>
      <c r="P28" s="116"/>
      <c r="Q28" s="116"/>
      <c r="R28" s="116"/>
      <c r="S28" s="136" t="s">
        <v>28</v>
      </c>
      <c r="T28" s="327">
        <f>1000000</f>
        <v>1000000</v>
      </c>
      <c r="U28" s="117" t="s">
        <v>5</v>
      </c>
      <c r="V28" s="302"/>
      <c r="W28" s="302"/>
      <c r="X28" s="302"/>
    </row>
    <row r="29" spans="1:24" s="326" customFormat="1" ht="15" customHeight="1" hidden="1">
      <c r="A29" s="114"/>
      <c r="B29" s="118"/>
      <c r="C29" s="116" t="s">
        <v>31</v>
      </c>
      <c r="D29" s="116"/>
      <c r="E29" s="116"/>
      <c r="F29" s="116"/>
      <c r="G29" s="116"/>
      <c r="H29" s="116"/>
      <c r="I29" s="116"/>
      <c r="J29" s="116"/>
      <c r="K29" s="116"/>
      <c r="L29" s="116"/>
      <c r="M29" s="116"/>
      <c r="N29" s="116"/>
      <c r="O29" s="116"/>
      <c r="P29" s="116"/>
      <c r="Q29" s="116"/>
      <c r="R29" s="116"/>
      <c r="S29" s="136" t="s">
        <v>30</v>
      </c>
      <c r="T29" s="327">
        <v>200</v>
      </c>
      <c r="U29" s="117" t="s">
        <v>32</v>
      </c>
      <c r="V29" s="302"/>
      <c r="W29" s="302"/>
      <c r="X29" s="302"/>
    </row>
    <row r="30" spans="1:24" s="326" customFormat="1" ht="15" customHeight="1" hidden="1">
      <c r="A30" s="114"/>
      <c r="B30" s="118"/>
      <c r="C30" s="116" t="s">
        <v>34</v>
      </c>
      <c r="D30" s="116"/>
      <c r="E30" s="116"/>
      <c r="F30" s="116"/>
      <c r="G30" s="116"/>
      <c r="H30" s="116"/>
      <c r="I30" s="116"/>
      <c r="J30" s="116"/>
      <c r="K30" s="116"/>
      <c r="L30" s="116"/>
      <c r="M30" s="116"/>
      <c r="N30" s="116"/>
      <c r="O30" s="116"/>
      <c r="P30" s="116"/>
      <c r="Q30" s="116"/>
      <c r="R30" s="116"/>
      <c r="S30" s="136" t="s">
        <v>35</v>
      </c>
      <c r="T30" s="327">
        <v>1</v>
      </c>
      <c r="U30" s="117" t="s">
        <v>17</v>
      </c>
      <c r="V30" s="302"/>
      <c r="W30" s="302"/>
      <c r="X30" s="302"/>
    </row>
    <row r="31" spans="1:24" s="326" customFormat="1" ht="15" customHeight="1" hidden="1">
      <c r="A31" s="114"/>
      <c r="B31" s="118"/>
      <c r="C31" s="116" t="s">
        <v>159</v>
      </c>
      <c r="D31" s="116"/>
      <c r="E31" s="116"/>
      <c r="F31" s="116"/>
      <c r="G31" s="116"/>
      <c r="H31" s="116"/>
      <c r="I31" s="116"/>
      <c r="J31" s="116"/>
      <c r="K31" s="116"/>
      <c r="L31" s="116"/>
      <c r="M31" s="116"/>
      <c r="N31" s="116"/>
      <c r="O31" s="116"/>
      <c r="P31" s="116"/>
      <c r="Q31" s="116"/>
      <c r="R31" s="116"/>
      <c r="S31" s="136" t="s">
        <v>54</v>
      </c>
      <c r="T31" s="327">
        <v>6</v>
      </c>
      <c r="U31" s="117" t="s">
        <v>24</v>
      </c>
      <c r="V31" s="302"/>
      <c r="W31" s="302"/>
      <c r="X31" s="302"/>
    </row>
    <row r="32" spans="1:24" s="326" customFormat="1" ht="15" customHeight="1" hidden="1">
      <c r="A32" s="114"/>
      <c r="B32" s="118"/>
      <c r="C32" s="116" t="s">
        <v>61</v>
      </c>
      <c r="D32" s="116"/>
      <c r="E32" s="116"/>
      <c r="F32" s="116"/>
      <c r="G32" s="116"/>
      <c r="H32" s="116"/>
      <c r="I32" s="116"/>
      <c r="J32" s="116"/>
      <c r="K32" s="116"/>
      <c r="L32" s="116"/>
      <c r="M32" s="116"/>
      <c r="N32" s="116"/>
      <c r="O32" s="116"/>
      <c r="P32" s="116"/>
      <c r="Q32" s="116"/>
      <c r="R32" s="116"/>
      <c r="S32" s="136" t="s">
        <v>62</v>
      </c>
      <c r="T32" s="327">
        <v>1</v>
      </c>
      <c r="U32" s="117" t="s">
        <v>17</v>
      </c>
      <c r="V32" s="302"/>
      <c r="W32" s="302"/>
      <c r="X32" s="302"/>
    </row>
    <row r="33" spans="1:24" s="326" customFormat="1" ht="15" customHeight="1" hidden="1">
      <c r="A33" s="114"/>
      <c r="B33" s="118"/>
      <c r="C33" s="116" t="s">
        <v>63</v>
      </c>
      <c r="D33" s="116"/>
      <c r="E33" s="116"/>
      <c r="F33" s="116"/>
      <c r="G33" s="116"/>
      <c r="H33" s="116"/>
      <c r="I33" s="116"/>
      <c r="J33" s="116"/>
      <c r="K33" s="116"/>
      <c r="L33" s="116"/>
      <c r="M33" s="116"/>
      <c r="N33" s="116"/>
      <c r="O33" s="116"/>
      <c r="P33" s="116"/>
      <c r="Q33" s="116"/>
      <c r="R33" s="116"/>
      <c r="S33" s="136" t="s">
        <v>64</v>
      </c>
      <c r="T33" s="327">
        <v>6</v>
      </c>
      <c r="U33" s="117" t="s">
        <v>24</v>
      </c>
      <c r="V33" s="302"/>
      <c r="W33" s="302"/>
      <c r="X33" s="302"/>
    </row>
    <row r="34" spans="1:24" s="326" customFormat="1" ht="15" customHeight="1" hidden="1">
      <c r="A34" s="114"/>
      <c r="B34" s="118"/>
      <c r="C34" s="116" t="s">
        <v>55</v>
      </c>
      <c r="D34" s="116"/>
      <c r="E34" s="116"/>
      <c r="F34" s="116"/>
      <c r="G34" s="116"/>
      <c r="H34" s="116"/>
      <c r="I34" s="116"/>
      <c r="J34" s="116"/>
      <c r="K34" s="116"/>
      <c r="L34" s="116"/>
      <c r="M34" s="116"/>
      <c r="N34" s="116"/>
      <c r="O34" s="116"/>
      <c r="P34" s="116"/>
      <c r="Q34" s="116"/>
      <c r="R34" s="116"/>
      <c r="S34" s="136" t="s">
        <v>56</v>
      </c>
      <c r="T34" s="327">
        <v>2200</v>
      </c>
      <c r="U34" s="117" t="s">
        <v>82</v>
      </c>
      <c r="V34" s="302"/>
      <c r="W34" s="302"/>
      <c r="X34" s="302"/>
    </row>
    <row r="35" spans="1:24" s="326" customFormat="1" ht="15" customHeight="1">
      <c r="A35" s="114"/>
      <c r="B35" s="115" t="s">
        <v>167</v>
      </c>
      <c r="C35" s="116"/>
      <c r="D35" s="116"/>
      <c r="E35" s="116"/>
      <c r="F35" s="116"/>
      <c r="G35" s="116"/>
      <c r="H35" s="116"/>
      <c r="I35" s="116"/>
      <c r="J35" s="116"/>
      <c r="K35" s="116"/>
      <c r="L35" s="116"/>
      <c r="M35" s="116"/>
      <c r="N35" s="116"/>
      <c r="O35" s="116"/>
      <c r="P35" s="116"/>
      <c r="Q35" s="116"/>
      <c r="R35" s="116"/>
      <c r="S35" s="136"/>
      <c r="T35" s="328"/>
      <c r="U35" s="117"/>
      <c r="V35" s="302"/>
      <c r="W35" s="302"/>
      <c r="X35" s="302"/>
    </row>
    <row r="36" spans="1:24" s="326" customFormat="1" ht="16.5" customHeight="1">
      <c r="A36" s="114"/>
      <c r="B36" s="115"/>
      <c r="C36" s="173" t="s">
        <v>199</v>
      </c>
      <c r="D36" s="329"/>
      <c r="E36" s="329"/>
      <c r="F36" s="329"/>
      <c r="G36" s="329"/>
      <c r="H36" s="329"/>
      <c r="I36" s="329"/>
      <c r="J36" s="329"/>
      <c r="K36" s="329"/>
      <c r="L36" s="329"/>
      <c r="M36" s="116"/>
      <c r="N36" s="116"/>
      <c r="O36" s="116"/>
      <c r="P36" s="116"/>
      <c r="Q36" s="116"/>
      <c r="R36" s="116"/>
      <c r="S36" s="136" t="s">
        <v>15</v>
      </c>
      <c r="T36" s="104">
        <v>1</v>
      </c>
      <c r="U36" s="51" t="s">
        <v>17</v>
      </c>
      <c r="V36" s="302"/>
      <c r="W36" s="302"/>
      <c r="X36" s="302"/>
    </row>
    <row r="37" spans="1:24" s="326" customFormat="1" ht="15" customHeight="1">
      <c r="A37" s="114"/>
      <c r="B37" s="115"/>
      <c r="C37" s="173" t="s">
        <v>201</v>
      </c>
      <c r="D37" s="116"/>
      <c r="E37" s="116"/>
      <c r="F37" s="116"/>
      <c r="G37" s="116"/>
      <c r="H37" s="116"/>
      <c r="I37" s="116"/>
      <c r="J37" s="116"/>
      <c r="K37" s="116"/>
      <c r="L37" s="116"/>
      <c r="M37" s="116"/>
      <c r="N37" s="116"/>
      <c r="O37" s="116"/>
      <c r="P37" s="116"/>
      <c r="Q37" s="116"/>
      <c r="R37" s="116"/>
      <c r="S37" s="136" t="s">
        <v>104</v>
      </c>
      <c r="T37" s="104">
        <v>1</v>
      </c>
      <c r="U37" s="51" t="s">
        <v>17</v>
      </c>
      <c r="V37" s="302"/>
      <c r="W37" s="302"/>
      <c r="X37" s="302"/>
    </row>
    <row r="38" spans="1:24" s="326" customFormat="1" ht="15" customHeight="1">
      <c r="A38" s="114"/>
      <c r="B38" s="118"/>
      <c r="C38" s="173" t="s">
        <v>200</v>
      </c>
      <c r="D38" s="116"/>
      <c r="E38" s="116"/>
      <c r="F38" s="116"/>
      <c r="G38" s="116"/>
      <c r="H38" s="116"/>
      <c r="I38" s="116"/>
      <c r="J38" s="116"/>
      <c r="K38" s="116"/>
      <c r="L38" s="116"/>
      <c r="M38" s="116"/>
      <c r="N38" s="116"/>
      <c r="O38" s="116"/>
      <c r="P38" s="116"/>
      <c r="Q38" s="116"/>
      <c r="R38" s="116"/>
      <c r="S38" s="136" t="s">
        <v>33</v>
      </c>
      <c r="T38" s="104">
        <v>1</v>
      </c>
      <c r="U38" s="117" t="s">
        <v>17</v>
      </c>
      <c r="V38" s="302"/>
      <c r="W38" s="302"/>
      <c r="X38" s="302"/>
    </row>
    <row r="39" spans="1:24" s="326" customFormat="1" ht="15" customHeight="1">
      <c r="A39" s="114"/>
      <c r="B39" s="118"/>
      <c r="C39" s="173" t="s">
        <v>204</v>
      </c>
      <c r="D39" s="116"/>
      <c r="E39" s="116"/>
      <c r="F39" s="116"/>
      <c r="G39" s="116"/>
      <c r="H39" s="116"/>
      <c r="I39" s="116"/>
      <c r="J39" s="116"/>
      <c r="K39" s="116"/>
      <c r="L39" s="116"/>
      <c r="M39" s="116"/>
      <c r="N39" s="116"/>
      <c r="O39" s="116"/>
      <c r="P39" s="116"/>
      <c r="Q39" s="116"/>
      <c r="R39" s="116"/>
      <c r="S39" s="136" t="s">
        <v>58</v>
      </c>
      <c r="T39" s="104">
        <v>0.2</v>
      </c>
      <c r="U39" s="117" t="s">
        <v>83</v>
      </c>
      <c r="V39" s="302"/>
      <c r="W39" s="302"/>
      <c r="X39" s="302"/>
    </row>
    <row r="40" spans="1:24" s="326" customFormat="1" ht="15" customHeight="1">
      <c r="A40" s="114"/>
      <c r="B40" s="118"/>
      <c r="C40" s="173" t="s">
        <v>203</v>
      </c>
      <c r="D40" s="116"/>
      <c r="E40" s="116"/>
      <c r="F40" s="116"/>
      <c r="G40" s="116"/>
      <c r="H40" s="116"/>
      <c r="I40" s="116"/>
      <c r="J40" s="116"/>
      <c r="K40" s="116"/>
      <c r="L40" s="116"/>
      <c r="M40" s="116"/>
      <c r="N40" s="116"/>
      <c r="O40" s="116"/>
      <c r="P40" s="116"/>
      <c r="Q40" s="116"/>
      <c r="R40" s="116"/>
      <c r="S40" s="136" t="s">
        <v>105</v>
      </c>
      <c r="T40" s="104">
        <v>0.1</v>
      </c>
      <c r="U40" s="117" t="s">
        <v>17</v>
      </c>
      <c r="V40" s="302"/>
      <c r="W40" s="302"/>
      <c r="X40" s="302"/>
    </row>
    <row r="41" spans="1:24" s="326" customFormat="1" ht="15" customHeight="1">
      <c r="A41" s="114"/>
      <c r="B41" s="118"/>
      <c r="C41" s="173" t="s">
        <v>202</v>
      </c>
      <c r="D41" s="116"/>
      <c r="E41" s="116"/>
      <c r="F41" s="116"/>
      <c r="G41" s="116"/>
      <c r="H41" s="116"/>
      <c r="I41" s="116"/>
      <c r="J41" s="116"/>
      <c r="K41" s="116"/>
      <c r="L41" s="116"/>
      <c r="M41" s="116"/>
      <c r="N41" s="116"/>
      <c r="O41" s="116"/>
      <c r="P41" s="116"/>
      <c r="Q41" s="116"/>
      <c r="R41" s="116"/>
      <c r="S41" s="136" t="s">
        <v>60</v>
      </c>
      <c r="T41" s="104">
        <v>0.5</v>
      </c>
      <c r="U41" s="117" t="s">
        <v>17</v>
      </c>
      <c r="V41" s="302"/>
      <c r="W41" s="302"/>
      <c r="X41" s="302"/>
    </row>
    <row r="42" spans="1:24" s="326" customFormat="1" ht="15" customHeight="1" hidden="1">
      <c r="A42" s="114"/>
      <c r="B42" s="118"/>
      <c r="C42" s="116" t="s">
        <v>160</v>
      </c>
      <c r="D42" s="116"/>
      <c r="E42" s="116"/>
      <c r="F42" s="116"/>
      <c r="G42" s="116"/>
      <c r="H42" s="116"/>
      <c r="I42" s="116"/>
      <c r="J42" s="116"/>
      <c r="K42" s="116"/>
      <c r="L42" s="116"/>
      <c r="M42" s="116"/>
      <c r="N42" s="116"/>
      <c r="O42" s="116"/>
      <c r="P42" s="116"/>
      <c r="Q42" s="116"/>
      <c r="R42" s="116"/>
      <c r="S42" s="136" t="s">
        <v>106</v>
      </c>
      <c r="T42" s="327">
        <f>T41*T23</f>
        <v>0.00025</v>
      </c>
      <c r="U42" s="117" t="s">
        <v>19</v>
      </c>
      <c r="V42" s="302"/>
      <c r="W42" s="302"/>
      <c r="X42" s="302"/>
    </row>
    <row r="43" spans="1:24" s="326" customFormat="1" ht="15" customHeight="1" hidden="1">
      <c r="A43" s="114"/>
      <c r="B43" s="118"/>
      <c r="C43" s="116" t="s">
        <v>36</v>
      </c>
      <c r="D43" s="116"/>
      <c r="E43" s="116"/>
      <c r="F43" s="116"/>
      <c r="G43" s="116"/>
      <c r="H43" s="116"/>
      <c r="I43" s="116"/>
      <c r="J43" s="116"/>
      <c r="K43" s="116"/>
      <c r="L43" s="116"/>
      <c r="M43" s="116"/>
      <c r="N43" s="116"/>
      <c r="O43" s="116"/>
      <c r="P43" s="116"/>
      <c r="Q43" s="116"/>
      <c r="R43" s="116"/>
      <c r="S43" s="136" t="s">
        <v>12</v>
      </c>
      <c r="T43" s="327">
        <f>1000</f>
        <v>1000</v>
      </c>
      <c r="U43" s="117" t="s">
        <v>22</v>
      </c>
      <c r="V43" s="302"/>
      <c r="W43" s="302"/>
      <c r="X43" s="302"/>
    </row>
    <row r="44" spans="1:24" s="326" customFormat="1" ht="15" customHeight="1" hidden="1">
      <c r="A44" s="114"/>
      <c r="B44" s="114"/>
      <c r="C44" s="116" t="s">
        <v>9</v>
      </c>
      <c r="D44" s="116"/>
      <c r="E44" s="116"/>
      <c r="F44" s="116"/>
      <c r="G44" s="116"/>
      <c r="H44" s="116"/>
      <c r="I44" s="116"/>
      <c r="J44" s="116"/>
      <c r="K44" s="116"/>
      <c r="L44" s="116"/>
      <c r="M44" s="116"/>
      <c r="N44" s="116"/>
      <c r="O44" s="116"/>
      <c r="P44" s="116"/>
      <c r="Q44" s="116"/>
      <c r="R44" s="116"/>
      <c r="S44" s="136" t="s">
        <v>14</v>
      </c>
      <c r="T44" s="327">
        <v>1</v>
      </c>
      <c r="U44" s="51" t="s">
        <v>18</v>
      </c>
      <c r="V44" s="302"/>
      <c r="W44" s="302"/>
      <c r="X44" s="302"/>
    </row>
    <row r="45" spans="1:24" s="326" customFormat="1" ht="15" customHeight="1" hidden="1">
      <c r="A45" s="114"/>
      <c r="B45" s="114"/>
      <c r="C45" s="116" t="s">
        <v>11</v>
      </c>
      <c r="D45" s="116"/>
      <c r="E45" s="116"/>
      <c r="F45" s="116"/>
      <c r="G45" s="116"/>
      <c r="H45" s="116"/>
      <c r="I45" s="116"/>
      <c r="J45" s="116"/>
      <c r="K45" s="116"/>
      <c r="L45" s="116"/>
      <c r="M45" s="116"/>
      <c r="N45" s="116"/>
      <c r="O45" s="116"/>
      <c r="P45" s="116"/>
      <c r="Q45" s="116"/>
      <c r="R45" s="116"/>
      <c r="S45" s="136" t="s">
        <v>16</v>
      </c>
      <c r="T45" s="327">
        <v>1</v>
      </c>
      <c r="U45" s="51" t="s">
        <v>17</v>
      </c>
      <c r="V45" s="302"/>
      <c r="W45" s="302"/>
      <c r="X45" s="302"/>
    </row>
    <row r="46" spans="1:24" s="326" customFormat="1" ht="15" customHeight="1" hidden="1">
      <c r="A46" s="114"/>
      <c r="B46" s="114"/>
      <c r="C46" s="116" t="s">
        <v>76</v>
      </c>
      <c r="D46" s="116"/>
      <c r="E46" s="116"/>
      <c r="F46" s="116"/>
      <c r="G46" s="116"/>
      <c r="H46" s="116"/>
      <c r="I46" s="116"/>
      <c r="J46" s="116"/>
      <c r="K46" s="116"/>
      <c r="L46" s="116"/>
      <c r="M46" s="116"/>
      <c r="N46" s="116"/>
      <c r="O46" s="116"/>
      <c r="P46" s="116"/>
      <c r="Q46" s="116"/>
      <c r="R46" s="116"/>
      <c r="S46" s="136" t="s">
        <v>12</v>
      </c>
      <c r="T46" s="327">
        <v>1000</v>
      </c>
      <c r="U46" s="51" t="s">
        <v>22</v>
      </c>
      <c r="V46" s="302"/>
      <c r="W46" s="302"/>
      <c r="X46" s="302"/>
    </row>
    <row r="47" spans="1:24" s="326" customFormat="1" ht="15" customHeight="1" hidden="1">
      <c r="A47" s="114"/>
      <c r="B47" s="114"/>
      <c r="C47" s="116" t="s">
        <v>77</v>
      </c>
      <c r="D47" s="116"/>
      <c r="E47" s="116"/>
      <c r="F47" s="116"/>
      <c r="G47" s="116"/>
      <c r="H47" s="116"/>
      <c r="I47" s="116"/>
      <c r="J47" s="116"/>
      <c r="K47" s="116"/>
      <c r="L47" s="116"/>
      <c r="M47" s="116"/>
      <c r="N47" s="116"/>
      <c r="O47" s="116"/>
      <c r="P47" s="116"/>
      <c r="Q47" s="116"/>
      <c r="R47" s="116"/>
      <c r="S47" s="136" t="s">
        <v>66</v>
      </c>
      <c r="T47" s="327">
        <v>10</v>
      </c>
      <c r="U47" s="51" t="s">
        <v>84</v>
      </c>
      <c r="V47" s="302"/>
      <c r="W47" s="302"/>
      <c r="X47" s="302"/>
    </row>
    <row r="48" spans="1:24" s="326" customFormat="1" ht="15" customHeight="1" hidden="1">
      <c r="A48" s="114"/>
      <c r="B48" s="119" t="s">
        <v>88</v>
      </c>
      <c r="C48" s="119"/>
      <c r="D48" s="116"/>
      <c r="E48" s="116"/>
      <c r="F48" s="116"/>
      <c r="G48" s="116"/>
      <c r="H48" s="116"/>
      <c r="I48" s="116"/>
      <c r="J48" s="116"/>
      <c r="K48" s="116"/>
      <c r="L48" s="116"/>
      <c r="M48" s="116"/>
      <c r="N48" s="116"/>
      <c r="O48" s="116"/>
      <c r="P48" s="116"/>
      <c r="Q48" s="116"/>
      <c r="R48" s="116"/>
      <c r="S48" s="136"/>
      <c r="T48" s="120"/>
      <c r="U48" s="51"/>
      <c r="V48" s="302"/>
      <c r="W48" s="302"/>
      <c r="X48" s="302"/>
    </row>
    <row r="49" spans="1:24" s="326" customFormat="1" ht="15" customHeight="1" hidden="1">
      <c r="A49" s="114"/>
      <c r="B49" s="114"/>
      <c r="C49" s="116" t="s">
        <v>70</v>
      </c>
      <c r="D49" s="116"/>
      <c r="E49" s="116"/>
      <c r="F49" s="116"/>
      <c r="G49" s="116"/>
      <c r="H49" s="116"/>
      <c r="I49" s="116"/>
      <c r="J49" s="116"/>
      <c r="K49" s="116"/>
      <c r="L49" s="116"/>
      <c r="M49" s="116"/>
      <c r="N49" s="116"/>
      <c r="O49" s="116"/>
      <c r="P49" s="116"/>
      <c r="Q49" s="116"/>
      <c r="R49" s="116"/>
      <c r="S49" s="136" t="s">
        <v>23</v>
      </c>
      <c r="T49" s="327">
        <v>75</v>
      </c>
      <c r="U49" s="51" t="s">
        <v>24</v>
      </c>
      <c r="V49" s="302"/>
      <c r="W49" s="302"/>
      <c r="X49" s="302"/>
    </row>
    <row r="50" spans="1:24" s="326" customFormat="1" ht="15" customHeight="1" hidden="1">
      <c r="A50" s="114"/>
      <c r="B50" s="118" t="s">
        <v>50</v>
      </c>
      <c r="C50" s="116" t="s">
        <v>8</v>
      </c>
      <c r="D50" s="116"/>
      <c r="E50" s="116"/>
      <c r="F50" s="116"/>
      <c r="G50" s="116"/>
      <c r="H50" s="116"/>
      <c r="I50" s="116"/>
      <c r="J50" s="116"/>
      <c r="K50" s="116"/>
      <c r="L50" s="116"/>
      <c r="M50" s="116"/>
      <c r="N50" s="116"/>
      <c r="O50" s="116"/>
      <c r="P50" s="116"/>
      <c r="Q50" s="116"/>
      <c r="R50" s="116"/>
      <c r="S50" s="136" t="s">
        <v>7</v>
      </c>
      <c r="T50" s="327">
        <v>16</v>
      </c>
      <c r="U50" s="51" t="s">
        <v>20</v>
      </c>
      <c r="V50" s="302"/>
      <c r="W50" s="302"/>
      <c r="X50" s="302"/>
    </row>
    <row r="51" spans="1:24" s="326" customFormat="1" ht="15" customHeight="1" hidden="1">
      <c r="A51" s="114"/>
      <c r="B51" s="118"/>
      <c r="C51" s="116" t="s">
        <v>38</v>
      </c>
      <c r="D51" s="116"/>
      <c r="E51" s="116"/>
      <c r="F51" s="116"/>
      <c r="G51" s="116"/>
      <c r="H51" s="116"/>
      <c r="I51" s="116"/>
      <c r="J51" s="116"/>
      <c r="K51" s="116"/>
      <c r="L51" s="116"/>
      <c r="M51" s="116"/>
      <c r="N51" s="116"/>
      <c r="O51" s="116"/>
      <c r="P51" s="116"/>
      <c r="Q51" s="116"/>
      <c r="R51" s="116"/>
      <c r="S51" s="136" t="s">
        <v>37</v>
      </c>
      <c r="T51" s="327">
        <v>1000000</v>
      </c>
      <c r="U51" s="51" t="s">
        <v>5</v>
      </c>
      <c r="V51" s="302"/>
      <c r="W51" s="302"/>
      <c r="X51" s="302"/>
    </row>
    <row r="52" spans="1:24" s="326" customFormat="1" ht="15" customHeight="1" hidden="1">
      <c r="A52" s="114"/>
      <c r="B52" s="118"/>
      <c r="C52" s="116" t="s">
        <v>39</v>
      </c>
      <c r="D52" s="116"/>
      <c r="E52" s="116"/>
      <c r="F52" s="116"/>
      <c r="G52" s="116"/>
      <c r="H52" s="116"/>
      <c r="I52" s="116"/>
      <c r="J52" s="116"/>
      <c r="K52" s="116"/>
      <c r="L52" s="116"/>
      <c r="M52" s="116"/>
      <c r="N52" s="116"/>
      <c r="O52" s="116"/>
      <c r="P52" s="116"/>
      <c r="Q52" s="116"/>
      <c r="R52" s="116"/>
      <c r="S52" s="136" t="s">
        <v>30</v>
      </c>
      <c r="T52" s="327">
        <v>200</v>
      </c>
      <c r="U52" s="51" t="s">
        <v>32</v>
      </c>
      <c r="V52" s="302"/>
      <c r="W52" s="302"/>
      <c r="X52" s="302"/>
    </row>
    <row r="53" spans="1:24" s="326" customFormat="1" ht="15" customHeight="1" hidden="1">
      <c r="A53" s="114"/>
      <c r="B53" s="118"/>
      <c r="C53" s="116" t="s">
        <v>71</v>
      </c>
      <c r="D53" s="116"/>
      <c r="E53" s="116"/>
      <c r="F53" s="116"/>
      <c r="G53" s="116"/>
      <c r="H53" s="116"/>
      <c r="I53" s="116"/>
      <c r="J53" s="116"/>
      <c r="K53" s="116"/>
      <c r="L53" s="116"/>
      <c r="M53" s="116"/>
      <c r="N53" s="116"/>
      <c r="O53" s="116"/>
      <c r="P53" s="116"/>
      <c r="Q53" s="116"/>
      <c r="R53" s="116"/>
      <c r="S53" s="136" t="s">
        <v>33</v>
      </c>
      <c r="T53" s="327">
        <f>AB1_NS</f>
        <v>1</v>
      </c>
      <c r="U53" s="117" t="s">
        <v>17</v>
      </c>
      <c r="V53" s="302"/>
      <c r="W53" s="302"/>
      <c r="X53" s="302"/>
    </row>
    <row r="54" spans="1:24" s="326" customFormat="1" ht="15" customHeight="1" hidden="1">
      <c r="A54" s="114"/>
      <c r="B54" s="118"/>
      <c r="C54" s="116" t="s">
        <v>72</v>
      </c>
      <c r="D54" s="116"/>
      <c r="E54" s="116"/>
      <c r="F54" s="116"/>
      <c r="G54" s="116"/>
      <c r="H54" s="116"/>
      <c r="I54" s="116"/>
      <c r="J54" s="116"/>
      <c r="K54" s="116"/>
      <c r="L54" s="116"/>
      <c r="M54" s="116"/>
      <c r="N54" s="116"/>
      <c r="O54" s="116"/>
      <c r="P54" s="116"/>
      <c r="Q54" s="116"/>
      <c r="R54" s="116"/>
      <c r="S54" s="136" t="s">
        <v>40</v>
      </c>
      <c r="T54" s="327">
        <v>6</v>
      </c>
      <c r="U54" s="51" t="s">
        <v>24</v>
      </c>
      <c r="V54" s="302"/>
      <c r="W54" s="302"/>
      <c r="X54" s="302"/>
    </row>
    <row r="55" spans="1:24" s="326" customFormat="1" ht="15" customHeight="1" hidden="1">
      <c r="A55" s="114"/>
      <c r="B55" s="118"/>
      <c r="C55" s="116" t="s">
        <v>34</v>
      </c>
      <c r="D55" s="116"/>
      <c r="E55" s="116"/>
      <c r="F55" s="116"/>
      <c r="G55" s="116"/>
      <c r="H55" s="116"/>
      <c r="I55" s="116"/>
      <c r="J55" s="116"/>
      <c r="K55" s="116"/>
      <c r="L55" s="116"/>
      <c r="M55" s="116"/>
      <c r="N55" s="116"/>
      <c r="O55" s="116"/>
      <c r="P55" s="116"/>
      <c r="Q55" s="116"/>
      <c r="R55" s="116"/>
      <c r="S55" s="136" t="s">
        <v>35</v>
      </c>
      <c r="T55" s="327">
        <v>1</v>
      </c>
      <c r="U55" s="117" t="s">
        <v>17</v>
      </c>
      <c r="V55" s="302"/>
      <c r="W55" s="302"/>
      <c r="X55" s="302"/>
    </row>
    <row r="56" spans="1:24" s="326" customFormat="1" ht="15" customHeight="1" hidden="1">
      <c r="A56" s="114"/>
      <c r="B56" s="118"/>
      <c r="C56" s="116" t="s">
        <v>159</v>
      </c>
      <c r="D56" s="116"/>
      <c r="E56" s="116"/>
      <c r="F56" s="116"/>
      <c r="G56" s="116"/>
      <c r="H56" s="116"/>
      <c r="I56" s="116"/>
      <c r="J56" s="116"/>
      <c r="K56" s="116"/>
      <c r="L56" s="116"/>
      <c r="M56" s="116"/>
      <c r="N56" s="116"/>
      <c r="O56" s="116"/>
      <c r="P56" s="116"/>
      <c r="Q56" s="116"/>
      <c r="R56" s="116"/>
      <c r="S56" s="136" t="s">
        <v>54</v>
      </c>
      <c r="T56" s="327">
        <v>75</v>
      </c>
      <c r="U56" s="117" t="s">
        <v>24</v>
      </c>
      <c r="V56" s="302"/>
      <c r="W56" s="302"/>
      <c r="X56" s="302"/>
    </row>
    <row r="57" spans="1:24" s="326" customFormat="1" ht="15" customHeight="1" hidden="1">
      <c r="A57" s="114"/>
      <c r="B57" s="118"/>
      <c r="C57" s="116" t="s">
        <v>61</v>
      </c>
      <c r="D57" s="116"/>
      <c r="E57" s="116"/>
      <c r="F57" s="116"/>
      <c r="G57" s="116"/>
      <c r="H57" s="116"/>
      <c r="I57" s="116"/>
      <c r="J57" s="116"/>
      <c r="K57" s="116"/>
      <c r="L57" s="116"/>
      <c r="M57" s="116"/>
      <c r="N57" s="116"/>
      <c r="O57" s="116"/>
      <c r="P57" s="116"/>
      <c r="Q57" s="116"/>
      <c r="R57" s="116"/>
      <c r="S57" s="136" t="s">
        <v>62</v>
      </c>
      <c r="T57" s="327">
        <v>1</v>
      </c>
      <c r="U57" s="117" t="s">
        <v>17</v>
      </c>
      <c r="V57" s="302"/>
      <c r="W57" s="302"/>
      <c r="X57" s="302"/>
    </row>
    <row r="58" spans="1:24" s="326" customFormat="1" ht="15" customHeight="1" hidden="1">
      <c r="A58" s="114"/>
      <c r="B58" s="118"/>
      <c r="C58" s="116" t="s">
        <v>63</v>
      </c>
      <c r="D58" s="116"/>
      <c r="E58" s="116"/>
      <c r="F58" s="116"/>
      <c r="G58" s="116"/>
      <c r="H58" s="116"/>
      <c r="I58" s="116"/>
      <c r="J58" s="116"/>
      <c r="K58" s="116"/>
      <c r="L58" s="116"/>
      <c r="M58" s="116"/>
      <c r="N58" s="116"/>
      <c r="O58" s="116"/>
      <c r="P58" s="116"/>
      <c r="Q58" s="116"/>
      <c r="R58" s="116"/>
      <c r="S58" s="136" t="s">
        <v>64</v>
      </c>
      <c r="T58" s="327">
        <v>6</v>
      </c>
      <c r="U58" s="117" t="s">
        <v>24</v>
      </c>
      <c r="V58" s="302"/>
      <c r="W58" s="302"/>
      <c r="X58" s="302"/>
    </row>
    <row r="59" spans="1:24" s="326" customFormat="1" ht="15" customHeight="1" hidden="1">
      <c r="A59" s="114"/>
      <c r="B59" s="118"/>
      <c r="C59" s="116" t="s">
        <v>55</v>
      </c>
      <c r="D59" s="116"/>
      <c r="E59" s="116"/>
      <c r="F59" s="116"/>
      <c r="G59" s="116"/>
      <c r="H59" s="116"/>
      <c r="I59" s="116"/>
      <c r="J59" s="116"/>
      <c r="K59" s="116"/>
      <c r="L59" s="116"/>
      <c r="M59" s="116"/>
      <c r="N59" s="116"/>
      <c r="O59" s="116"/>
      <c r="P59" s="116"/>
      <c r="Q59" s="116"/>
      <c r="R59" s="116"/>
      <c r="S59" s="136" t="s">
        <v>56</v>
      </c>
      <c r="T59" s="327">
        <v>2200</v>
      </c>
      <c r="U59" s="117" t="s">
        <v>82</v>
      </c>
      <c r="V59" s="302"/>
      <c r="W59" s="302"/>
      <c r="X59" s="302"/>
    </row>
    <row r="60" spans="1:24" s="326" customFormat="1" ht="15" customHeight="1" hidden="1">
      <c r="A60" s="114"/>
      <c r="B60" s="118"/>
      <c r="C60" s="116" t="s">
        <v>57</v>
      </c>
      <c r="D60" s="116"/>
      <c r="E60" s="116"/>
      <c r="F60" s="116"/>
      <c r="G60" s="116"/>
      <c r="H60" s="116"/>
      <c r="I60" s="116"/>
      <c r="J60" s="116"/>
      <c r="K60" s="116"/>
      <c r="L60" s="116"/>
      <c r="M60" s="116"/>
      <c r="N60" s="116"/>
      <c r="O60" s="116"/>
      <c r="P60" s="116"/>
      <c r="Q60" s="116"/>
      <c r="R60" s="116"/>
      <c r="S60" s="136" t="s">
        <v>58</v>
      </c>
      <c r="T60" s="327">
        <f>AF_NS</f>
        <v>0.2</v>
      </c>
      <c r="U60" s="117" t="s">
        <v>83</v>
      </c>
      <c r="V60" s="302"/>
      <c r="W60" s="302"/>
      <c r="X60" s="302"/>
    </row>
    <row r="61" spans="1:24" s="326" customFormat="1" ht="15" customHeight="1" hidden="1">
      <c r="A61" s="114"/>
      <c r="B61" s="118"/>
      <c r="C61" s="116" t="s">
        <v>68</v>
      </c>
      <c r="D61" s="116"/>
      <c r="E61" s="116"/>
      <c r="F61" s="116"/>
      <c r="G61" s="116"/>
      <c r="H61" s="116"/>
      <c r="I61" s="116"/>
      <c r="J61" s="116"/>
      <c r="K61" s="116"/>
      <c r="L61" s="116"/>
      <c r="M61" s="116"/>
      <c r="N61" s="116"/>
      <c r="O61" s="116"/>
      <c r="P61" s="116"/>
      <c r="Q61" s="116"/>
      <c r="R61" s="116"/>
      <c r="S61" s="136" t="s">
        <v>59</v>
      </c>
      <c r="T61" s="327">
        <f>ABS_NS</f>
        <v>0.1</v>
      </c>
      <c r="U61" s="117" t="s">
        <v>17</v>
      </c>
      <c r="V61" s="302"/>
      <c r="W61" s="302"/>
      <c r="X61" s="302"/>
    </row>
    <row r="62" spans="1:24" s="326" customFormat="1" ht="15" customHeight="1" hidden="1">
      <c r="A62" s="114"/>
      <c r="B62" s="118"/>
      <c r="C62" s="116" t="s">
        <v>69</v>
      </c>
      <c r="D62" s="116"/>
      <c r="E62" s="116"/>
      <c r="F62" s="116"/>
      <c r="G62" s="116"/>
      <c r="H62" s="116"/>
      <c r="I62" s="116"/>
      <c r="J62" s="116"/>
      <c r="K62" s="116"/>
      <c r="L62" s="116"/>
      <c r="M62" s="116"/>
      <c r="N62" s="116"/>
      <c r="O62" s="116"/>
      <c r="P62" s="116"/>
      <c r="Q62" s="116"/>
      <c r="R62" s="116"/>
      <c r="S62" s="136" t="s">
        <v>60</v>
      </c>
      <c r="T62" s="327">
        <f>GI_NS</f>
        <v>0.5</v>
      </c>
      <c r="U62" s="117" t="s">
        <v>17</v>
      </c>
      <c r="V62" s="302"/>
      <c r="W62" s="302"/>
      <c r="X62" s="302"/>
    </row>
    <row r="63" spans="1:24" s="326" customFormat="1" ht="15" customHeight="1" hidden="1">
      <c r="A63" s="114"/>
      <c r="B63" s="118"/>
      <c r="C63" s="116" t="s">
        <v>73</v>
      </c>
      <c r="D63" s="116"/>
      <c r="E63" s="116"/>
      <c r="F63" s="116"/>
      <c r="G63" s="116"/>
      <c r="H63" s="116"/>
      <c r="I63" s="116"/>
      <c r="J63" s="116"/>
      <c r="K63" s="116"/>
      <c r="L63" s="116"/>
      <c r="M63" s="116"/>
      <c r="N63" s="116"/>
      <c r="O63" s="116"/>
      <c r="P63" s="116"/>
      <c r="Q63" s="116"/>
      <c r="R63" s="116"/>
      <c r="S63" s="136" t="s">
        <v>107</v>
      </c>
      <c r="T63" s="327">
        <f>T24/T62</f>
        <v>0.68</v>
      </c>
      <c r="U63" s="117" t="s">
        <v>19</v>
      </c>
      <c r="V63" s="302"/>
      <c r="W63" s="302"/>
      <c r="X63" s="302"/>
    </row>
    <row r="64" spans="1:24" s="326" customFormat="1" ht="15" customHeight="1" hidden="1">
      <c r="A64" s="114"/>
      <c r="B64" s="118" t="s">
        <v>51</v>
      </c>
      <c r="C64" s="116" t="s">
        <v>21</v>
      </c>
      <c r="D64" s="116"/>
      <c r="E64" s="116"/>
      <c r="F64" s="116"/>
      <c r="G64" s="116"/>
      <c r="H64" s="116"/>
      <c r="I64" s="116"/>
      <c r="J64" s="116"/>
      <c r="K64" s="116"/>
      <c r="L64" s="116"/>
      <c r="M64" s="116"/>
      <c r="N64" s="116"/>
      <c r="O64" s="116"/>
      <c r="P64" s="116"/>
      <c r="Q64" s="116"/>
      <c r="R64" s="116"/>
      <c r="S64" s="136" t="s">
        <v>7</v>
      </c>
      <c r="T64" s="327">
        <v>70</v>
      </c>
      <c r="U64" s="51" t="s">
        <v>20</v>
      </c>
      <c r="V64" s="302"/>
      <c r="W64" s="302"/>
      <c r="X64" s="302"/>
    </row>
    <row r="65" spans="1:24" s="326" customFormat="1" ht="15" customHeight="1" hidden="1">
      <c r="A65" s="114"/>
      <c r="B65" s="114"/>
      <c r="C65" s="116" t="s">
        <v>41</v>
      </c>
      <c r="D65" s="116"/>
      <c r="E65" s="116"/>
      <c r="F65" s="116"/>
      <c r="G65" s="116"/>
      <c r="H65" s="116"/>
      <c r="I65" s="116"/>
      <c r="J65" s="116"/>
      <c r="K65" s="116"/>
      <c r="L65" s="116"/>
      <c r="M65" s="116"/>
      <c r="N65" s="116"/>
      <c r="O65" s="116"/>
      <c r="P65" s="116"/>
      <c r="Q65" s="116"/>
      <c r="R65" s="116"/>
      <c r="S65" s="136" t="s">
        <v>12</v>
      </c>
      <c r="T65" s="327">
        <v>1000</v>
      </c>
      <c r="U65" s="51" t="s">
        <v>22</v>
      </c>
      <c r="V65" s="302"/>
      <c r="W65" s="302"/>
      <c r="X65" s="302"/>
    </row>
    <row r="66" spans="1:24" s="326" customFormat="1" ht="15" customHeight="1" hidden="1">
      <c r="A66" s="114"/>
      <c r="B66" s="114"/>
      <c r="C66" s="116" t="s">
        <v>25</v>
      </c>
      <c r="D66" s="116"/>
      <c r="E66" s="116"/>
      <c r="F66" s="116"/>
      <c r="G66" s="116"/>
      <c r="H66" s="116"/>
      <c r="I66" s="116"/>
      <c r="J66" s="116"/>
      <c r="K66" s="116"/>
      <c r="L66" s="116"/>
      <c r="M66" s="116"/>
      <c r="N66" s="116"/>
      <c r="O66" s="116"/>
      <c r="P66" s="116"/>
      <c r="Q66" s="116"/>
      <c r="R66" s="116"/>
      <c r="S66" s="136" t="s">
        <v>14</v>
      </c>
      <c r="T66" s="327">
        <v>2</v>
      </c>
      <c r="U66" s="51" t="s">
        <v>18</v>
      </c>
      <c r="V66" s="302"/>
      <c r="W66" s="302"/>
      <c r="X66" s="302"/>
    </row>
    <row r="67" spans="1:24" s="326" customFormat="1" ht="15" customHeight="1" hidden="1">
      <c r="A67" s="114"/>
      <c r="B67" s="114"/>
      <c r="C67" s="116" t="s">
        <v>42</v>
      </c>
      <c r="D67" s="116"/>
      <c r="E67" s="116"/>
      <c r="F67" s="116"/>
      <c r="G67" s="116"/>
      <c r="H67" s="116"/>
      <c r="I67" s="116"/>
      <c r="J67" s="116"/>
      <c r="K67" s="116"/>
      <c r="L67" s="116"/>
      <c r="M67" s="116"/>
      <c r="N67" s="116"/>
      <c r="O67" s="116"/>
      <c r="P67" s="116"/>
      <c r="Q67" s="116"/>
      <c r="R67" s="116"/>
      <c r="S67" s="136" t="s">
        <v>40</v>
      </c>
      <c r="T67" s="327">
        <v>30</v>
      </c>
      <c r="U67" s="51" t="s">
        <v>24</v>
      </c>
      <c r="V67" s="302"/>
      <c r="W67" s="302"/>
      <c r="X67" s="302"/>
    </row>
    <row r="68" spans="1:24" s="326" customFormat="1" ht="15" customHeight="1" hidden="1">
      <c r="A68" s="114"/>
      <c r="B68" s="114"/>
      <c r="C68" s="116" t="s">
        <v>10</v>
      </c>
      <c r="D68" s="116"/>
      <c r="E68" s="116"/>
      <c r="F68" s="116"/>
      <c r="G68" s="116"/>
      <c r="H68" s="116"/>
      <c r="I68" s="116"/>
      <c r="J68" s="116"/>
      <c r="K68" s="116"/>
      <c r="L68" s="116"/>
      <c r="M68" s="116"/>
      <c r="N68" s="116"/>
      <c r="O68" s="116"/>
      <c r="P68" s="116"/>
      <c r="Q68" s="116"/>
      <c r="R68" s="116"/>
      <c r="S68" s="136" t="s">
        <v>15</v>
      </c>
      <c r="T68" s="327">
        <f>INH_NG</f>
        <v>1</v>
      </c>
      <c r="U68" s="51" t="s">
        <v>17</v>
      </c>
      <c r="V68" s="302"/>
      <c r="W68" s="302"/>
      <c r="X68" s="302"/>
    </row>
    <row r="69" spans="1:24" s="326" customFormat="1" ht="15" customHeight="1" hidden="1">
      <c r="A69" s="114"/>
      <c r="B69" s="116"/>
      <c r="C69" s="116" t="s">
        <v>11</v>
      </c>
      <c r="D69" s="116"/>
      <c r="E69" s="116"/>
      <c r="F69" s="116"/>
      <c r="G69" s="116"/>
      <c r="H69" s="116"/>
      <c r="I69" s="116"/>
      <c r="J69" s="116"/>
      <c r="K69" s="116"/>
      <c r="L69" s="116"/>
      <c r="M69" s="116"/>
      <c r="N69" s="116"/>
      <c r="O69" s="116"/>
      <c r="P69" s="116"/>
      <c r="Q69" s="116"/>
      <c r="R69" s="116"/>
      <c r="S69" s="136" t="s">
        <v>16</v>
      </c>
      <c r="T69" s="327">
        <v>1</v>
      </c>
      <c r="U69" s="51" t="s">
        <v>17</v>
      </c>
      <c r="V69" s="302"/>
      <c r="W69" s="302"/>
      <c r="X69" s="302"/>
    </row>
    <row r="70" spans="1:24" s="326" customFormat="1" ht="15" customHeight="1" hidden="1">
      <c r="A70" s="114"/>
      <c r="B70" s="121" t="s">
        <v>75</v>
      </c>
      <c r="C70" s="116" t="s">
        <v>78</v>
      </c>
      <c r="D70" s="116"/>
      <c r="E70" s="116"/>
      <c r="F70" s="116"/>
      <c r="G70" s="116"/>
      <c r="H70" s="116"/>
      <c r="I70" s="116"/>
      <c r="J70" s="116"/>
      <c r="K70" s="116"/>
      <c r="L70" s="116"/>
      <c r="M70" s="116"/>
      <c r="N70" s="116"/>
      <c r="O70" s="116"/>
      <c r="P70" s="116"/>
      <c r="Q70" s="116"/>
      <c r="R70" s="116"/>
      <c r="S70" s="136" t="s">
        <v>7</v>
      </c>
      <c r="T70" s="327">
        <v>70</v>
      </c>
      <c r="U70" s="51" t="s">
        <v>6</v>
      </c>
      <c r="V70" s="302"/>
      <c r="W70" s="302"/>
      <c r="X70" s="302"/>
    </row>
    <row r="71" spans="1:24" s="326" customFormat="1" ht="15" customHeight="1" hidden="1">
      <c r="A71" s="114"/>
      <c r="B71" s="116"/>
      <c r="C71" s="116" t="s">
        <v>161</v>
      </c>
      <c r="D71" s="116"/>
      <c r="E71" s="116"/>
      <c r="F71" s="116"/>
      <c r="G71" s="116"/>
      <c r="H71" s="116"/>
      <c r="I71" s="116"/>
      <c r="J71" s="116"/>
      <c r="K71" s="116"/>
      <c r="L71" s="116"/>
      <c r="M71" s="116"/>
      <c r="N71" s="116"/>
      <c r="O71" s="116"/>
      <c r="P71" s="116"/>
      <c r="Q71" s="116"/>
      <c r="R71" s="116"/>
      <c r="S71" s="136" t="s">
        <v>59</v>
      </c>
      <c r="T71" s="122">
        <f>ABS_NA</f>
        <v>1</v>
      </c>
      <c r="U71" s="51" t="s">
        <v>17</v>
      </c>
      <c r="V71" s="302"/>
      <c r="W71" s="302"/>
      <c r="X71" s="302"/>
    </row>
    <row r="72" spans="1:24" s="326" customFormat="1" ht="15" customHeight="1" hidden="1">
      <c r="A72" s="114"/>
      <c r="B72" s="116"/>
      <c r="C72" s="51" t="s">
        <v>67</v>
      </c>
      <c r="D72" s="116"/>
      <c r="E72" s="52"/>
      <c r="F72" s="52"/>
      <c r="G72" s="52"/>
      <c r="H72" s="52"/>
      <c r="I72" s="52"/>
      <c r="J72" s="52"/>
      <c r="K72" s="52"/>
      <c r="L72" s="52"/>
      <c r="M72" s="52"/>
      <c r="N72" s="52"/>
      <c r="O72" s="52"/>
      <c r="P72" s="52"/>
      <c r="Q72" s="52"/>
      <c r="R72" s="52"/>
      <c r="S72" s="136" t="s">
        <v>66</v>
      </c>
      <c r="T72" s="122">
        <v>20</v>
      </c>
      <c r="U72" s="51" t="s">
        <v>84</v>
      </c>
      <c r="V72" s="302"/>
      <c r="W72" s="302"/>
      <c r="X72" s="302"/>
    </row>
    <row r="73" spans="1:24" s="326" customFormat="1" ht="15" customHeight="1" hidden="1">
      <c r="A73" s="114"/>
      <c r="B73" s="116"/>
      <c r="C73" s="116" t="s">
        <v>80</v>
      </c>
      <c r="D73" s="116"/>
      <c r="E73" s="116"/>
      <c r="F73" s="116"/>
      <c r="G73" s="116"/>
      <c r="H73" s="116"/>
      <c r="I73" s="116"/>
      <c r="J73" s="116"/>
      <c r="K73" s="116"/>
      <c r="L73" s="116"/>
      <c r="M73" s="116"/>
      <c r="N73" s="116"/>
      <c r="O73" s="116"/>
      <c r="P73" s="116"/>
      <c r="Q73" s="116"/>
      <c r="R73" s="116"/>
      <c r="S73" s="136" t="s">
        <v>12</v>
      </c>
      <c r="T73" s="124">
        <v>1000</v>
      </c>
      <c r="U73" s="51" t="s">
        <v>22</v>
      </c>
      <c r="V73" s="302"/>
      <c r="W73" s="302"/>
      <c r="X73" s="302"/>
    </row>
    <row r="74" spans="1:24" s="326" customFormat="1" ht="15" customHeight="1">
      <c r="A74" s="114"/>
      <c r="B74" s="115" t="s">
        <v>132</v>
      </c>
      <c r="C74" s="115"/>
      <c r="D74" s="116"/>
      <c r="E74" s="116"/>
      <c r="F74" s="116"/>
      <c r="G74" s="116"/>
      <c r="H74" s="116"/>
      <c r="I74" s="116"/>
      <c r="J74" s="116"/>
      <c r="K74" s="116"/>
      <c r="L74" s="116"/>
      <c r="M74" s="116"/>
      <c r="N74" s="116"/>
      <c r="O74" s="116"/>
      <c r="P74" s="116"/>
      <c r="Q74" s="116"/>
      <c r="R74" s="116"/>
      <c r="S74" s="136"/>
      <c r="T74" s="140"/>
      <c r="U74" s="51"/>
      <c r="V74" s="302"/>
      <c r="W74" s="302"/>
      <c r="X74" s="302"/>
    </row>
    <row r="75" spans="1:24" s="326" customFormat="1" ht="17.25" customHeight="1">
      <c r="A75" s="114"/>
      <c r="B75" s="114"/>
      <c r="C75" s="123" t="s">
        <v>187</v>
      </c>
      <c r="D75" s="116"/>
      <c r="E75" s="52"/>
      <c r="F75" s="52"/>
      <c r="G75" s="52"/>
      <c r="H75" s="52"/>
      <c r="I75" s="52"/>
      <c r="J75" s="52"/>
      <c r="K75" s="52"/>
      <c r="L75" s="52"/>
      <c r="M75" s="52"/>
      <c r="N75" s="52"/>
      <c r="O75" s="52"/>
      <c r="P75" s="52"/>
      <c r="Q75" s="52"/>
      <c r="R75" s="52"/>
      <c r="S75" s="136" t="s">
        <v>108</v>
      </c>
      <c r="T75" s="125">
        <v>677934</v>
      </c>
      <c r="U75" s="51" t="s">
        <v>48</v>
      </c>
      <c r="V75" s="302"/>
      <c r="W75" s="302"/>
      <c r="X75" s="302"/>
    </row>
    <row r="76" spans="1:24" s="326" customFormat="1" ht="15" customHeight="1">
      <c r="A76" s="114"/>
      <c r="B76" s="114"/>
      <c r="C76" s="123" t="s">
        <v>206</v>
      </c>
      <c r="D76" s="116"/>
      <c r="E76" s="51"/>
      <c r="F76" s="51"/>
      <c r="G76" s="51"/>
      <c r="H76" s="51"/>
      <c r="I76" s="51"/>
      <c r="J76" s="51"/>
      <c r="K76" s="51"/>
      <c r="L76" s="51"/>
      <c r="M76" s="51"/>
      <c r="N76" s="51"/>
      <c r="O76" s="51"/>
      <c r="P76" s="51"/>
      <c r="Q76" s="51"/>
      <c r="R76" s="51"/>
      <c r="S76" s="136" t="s">
        <v>109</v>
      </c>
      <c r="T76" s="125">
        <v>0.000127691254059584</v>
      </c>
      <c r="U76" s="51" t="s">
        <v>17</v>
      </c>
      <c r="V76" s="302"/>
      <c r="W76" s="302"/>
      <c r="X76" s="302"/>
    </row>
    <row r="77" spans="1:24" s="326" customFormat="1" ht="15" customHeight="1">
      <c r="A77" s="114"/>
      <c r="B77" s="114"/>
      <c r="C77" s="355" t="s">
        <v>219</v>
      </c>
      <c r="D77" s="356"/>
      <c r="E77" s="356"/>
      <c r="F77" s="356"/>
      <c r="G77" s="356"/>
      <c r="H77" s="356"/>
      <c r="I77" s="356"/>
      <c r="J77" s="356"/>
      <c r="K77" s="356"/>
      <c r="L77" s="356"/>
      <c r="M77" s="356"/>
      <c r="N77" s="126"/>
      <c r="O77" s="126"/>
      <c r="P77" s="126"/>
      <c r="Q77" s="126"/>
      <c r="R77" s="126"/>
      <c r="S77" s="137"/>
      <c r="T77" s="349"/>
      <c r="U77" s="51"/>
      <c r="V77" s="302"/>
      <c r="W77" s="302"/>
      <c r="X77" s="302"/>
    </row>
    <row r="78" spans="1:21" ht="15.75" customHeight="1">
      <c r="A78" s="32"/>
      <c r="B78" s="32"/>
      <c r="C78" s="357"/>
      <c r="D78" s="358"/>
      <c r="E78" s="358"/>
      <c r="F78" s="358"/>
      <c r="G78" s="358"/>
      <c r="H78" s="358"/>
      <c r="I78" s="358"/>
      <c r="J78" s="358"/>
      <c r="K78" s="358"/>
      <c r="L78" s="358"/>
      <c r="M78" s="358"/>
      <c r="N78" s="49"/>
      <c r="O78" s="49"/>
      <c r="P78" s="49"/>
      <c r="Q78" s="49"/>
      <c r="R78" s="49"/>
      <c r="S78" s="138"/>
      <c r="T78" s="348"/>
      <c r="U78" s="46"/>
    </row>
    <row r="79" spans="1:21" ht="15" customHeight="1">
      <c r="A79" s="32"/>
      <c r="B79" s="34"/>
      <c r="C79" s="92" t="s">
        <v>149</v>
      </c>
      <c r="D79" s="34"/>
      <c r="E79" s="46"/>
      <c r="F79" s="46"/>
      <c r="G79" s="46"/>
      <c r="H79" s="46"/>
      <c r="I79" s="46"/>
      <c r="J79" s="46"/>
      <c r="K79" s="46"/>
      <c r="L79" s="46"/>
      <c r="M79" s="46"/>
      <c r="N79" s="46"/>
      <c r="O79" s="46"/>
      <c r="P79" s="46"/>
      <c r="Q79" s="46"/>
      <c r="R79" s="46"/>
      <c r="S79" s="43" t="s">
        <v>4</v>
      </c>
      <c r="T79" s="105">
        <v>0.0055</v>
      </c>
      <c r="U79" s="46" t="s">
        <v>49</v>
      </c>
    </row>
    <row r="80" spans="1:21" ht="15" customHeight="1" thickBot="1">
      <c r="A80" s="32"/>
      <c r="B80" s="31" t="s">
        <v>207</v>
      </c>
      <c r="C80" s="31"/>
      <c r="D80" s="34"/>
      <c r="E80" s="34"/>
      <c r="F80" s="34"/>
      <c r="G80" s="34"/>
      <c r="H80" s="34"/>
      <c r="I80" s="34"/>
      <c r="J80" s="34"/>
      <c r="K80" s="34"/>
      <c r="L80" s="34"/>
      <c r="M80" s="34"/>
      <c r="N80" s="34"/>
      <c r="O80" s="34"/>
      <c r="P80" s="34"/>
      <c r="Q80" s="34"/>
      <c r="R80" s="34"/>
      <c r="S80" s="43"/>
      <c r="T80" s="37"/>
      <c r="U80" s="46"/>
    </row>
    <row r="81" spans="1:21" ht="39" customHeight="1" thickBot="1">
      <c r="A81" s="32"/>
      <c r="B81" s="32"/>
      <c r="C81" s="174" t="s">
        <v>163</v>
      </c>
      <c r="D81" s="34"/>
      <c r="E81" s="52"/>
      <c r="F81" s="52"/>
      <c r="G81" s="52"/>
      <c r="H81" s="52"/>
      <c r="I81" s="52"/>
      <c r="J81" s="52"/>
      <c r="K81" s="52"/>
      <c r="L81" s="52"/>
      <c r="M81" s="52"/>
      <c r="N81" s="52"/>
      <c r="O81" s="52"/>
      <c r="P81" s="52"/>
      <c r="Q81" s="52"/>
      <c r="R81" s="52"/>
      <c r="S81" s="136" t="s">
        <v>111</v>
      </c>
      <c r="T81" s="287">
        <v>0.2574</v>
      </c>
      <c r="U81" s="51" t="s">
        <v>3</v>
      </c>
    </row>
    <row r="82" spans="1:21" ht="15" customHeight="1" hidden="1">
      <c r="A82" s="32"/>
      <c r="B82" s="53"/>
      <c r="C82" s="34" t="s">
        <v>53</v>
      </c>
      <c r="D82" s="34"/>
      <c r="E82" s="34"/>
      <c r="F82" s="34"/>
      <c r="G82" s="34"/>
      <c r="H82" s="34"/>
      <c r="I82" s="34"/>
      <c r="J82" s="34"/>
      <c r="K82" s="34"/>
      <c r="L82" s="34"/>
      <c r="M82" s="34"/>
      <c r="N82" s="34"/>
      <c r="O82" s="34"/>
      <c r="P82" s="34"/>
      <c r="Q82" s="34"/>
      <c r="R82" s="34"/>
      <c r="S82" s="139" t="s">
        <v>13</v>
      </c>
      <c r="T82" s="106">
        <v>1</v>
      </c>
      <c r="U82" s="46" t="s">
        <v>17</v>
      </c>
    </row>
    <row r="83" spans="1:21" ht="15" customHeight="1" hidden="1">
      <c r="A83" s="32"/>
      <c r="B83" s="53"/>
      <c r="C83" s="34" t="s">
        <v>65</v>
      </c>
      <c r="D83" s="34"/>
      <c r="E83" s="34"/>
      <c r="F83" s="34"/>
      <c r="G83" s="34"/>
      <c r="H83" s="34"/>
      <c r="I83" s="34"/>
      <c r="J83" s="34"/>
      <c r="K83" s="34"/>
      <c r="L83" s="34"/>
      <c r="M83" s="34"/>
      <c r="N83" s="34"/>
      <c r="O83" s="34"/>
      <c r="P83" s="34"/>
      <c r="Q83" s="34"/>
      <c r="R83" s="34"/>
      <c r="S83" s="139" t="s">
        <v>26</v>
      </c>
      <c r="T83" s="107">
        <f>0.000001</f>
        <v>1E-06</v>
      </c>
      <c r="U83" s="46" t="s">
        <v>17</v>
      </c>
    </row>
    <row r="84" spans="1:21" ht="19.5" customHeight="1">
      <c r="A84" s="32"/>
      <c r="B84" s="54" t="s">
        <v>89</v>
      </c>
      <c r="C84" s="54"/>
      <c r="D84" s="34"/>
      <c r="E84" s="34"/>
      <c r="F84" s="34"/>
      <c r="G84" s="34"/>
      <c r="H84" s="34"/>
      <c r="I84" s="34"/>
      <c r="J84" s="34"/>
      <c r="K84" s="34"/>
      <c r="L84" s="34"/>
      <c r="M84" s="34"/>
      <c r="N84" s="34"/>
      <c r="O84" s="34"/>
      <c r="P84" s="34"/>
      <c r="Q84" s="34"/>
      <c r="R84" s="34"/>
      <c r="S84" s="43"/>
      <c r="T84" s="108"/>
      <c r="U84" s="94"/>
    </row>
    <row r="85" spans="1:21" ht="15" customHeight="1">
      <c r="A85" s="32"/>
      <c r="B85" s="32"/>
      <c r="C85" s="92" t="s">
        <v>150</v>
      </c>
      <c r="D85" s="34"/>
      <c r="E85" s="56"/>
      <c r="F85" s="56"/>
      <c r="G85" s="56"/>
      <c r="H85" s="56"/>
      <c r="I85" s="56"/>
      <c r="J85" s="56"/>
      <c r="K85" s="56"/>
      <c r="L85" s="56"/>
      <c r="M85" s="56"/>
      <c r="N85" s="56"/>
      <c r="O85" s="56"/>
      <c r="P85" s="56"/>
      <c r="Q85" s="56"/>
      <c r="R85" s="56"/>
      <c r="S85" s="43" t="s">
        <v>2</v>
      </c>
      <c r="T85" s="104">
        <v>0.43</v>
      </c>
      <c r="U85" s="93" t="s">
        <v>17</v>
      </c>
    </row>
    <row r="86" spans="1:21" ht="15" customHeight="1">
      <c r="A86" s="32"/>
      <c r="B86" s="32"/>
      <c r="C86" s="92" t="s">
        <v>151</v>
      </c>
      <c r="D86" s="34"/>
      <c r="E86" s="46"/>
      <c r="F86" s="46"/>
      <c r="G86" s="46"/>
      <c r="H86" s="46"/>
      <c r="I86" s="46"/>
      <c r="J86" s="46"/>
      <c r="K86" s="46"/>
      <c r="L86" s="46"/>
      <c r="M86" s="46"/>
      <c r="N86" s="46"/>
      <c r="O86" s="46"/>
      <c r="P86" s="46"/>
      <c r="Q86" s="46"/>
      <c r="R86" s="46"/>
      <c r="S86" s="145" t="s">
        <v>112</v>
      </c>
      <c r="T86" s="104">
        <v>0.3</v>
      </c>
      <c r="U86" s="93" t="s">
        <v>17</v>
      </c>
    </row>
    <row r="87" spans="1:21" ht="15" customHeight="1">
      <c r="A87" s="32"/>
      <c r="B87" s="32"/>
      <c r="C87" s="45" t="s">
        <v>152</v>
      </c>
      <c r="D87" s="34"/>
      <c r="E87" s="57"/>
      <c r="F87" s="57"/>
      <c r="G87" s="57"/>
      <c r="H87" s="57"/>
      <c r="I87" s="57"/>
      <c r="J87" s="57"/>
      <c r="K87" s="57"/>
      <c r="L87" s="57"/>
      <c r="M87" s="57"/>
      <c r="N87" s="57"/>
      <c r="O87" s="57"/>
      <c r="P87" s="57"/>
      <c r="Q87" s="57"/>
      <c r="R87" s="57"/>
      <c r="S87" s="145" t="s">
        <v>113</v>
      </c>
      <c r="T87" s="109">
        <f>T85-T86</f>
        <v>0.13</v>
      </c>
      <c r="U87" s="93" t="s">
        <v>17</v>
      </c>
    </row>
    <row r="88" spans="1:21" ht="15" customHeight="1">
      <c r="A88" s="32"/>
      <c r="B88" s="32"/>
      <c r="C88" s="45" t="s">
        <v>153</v>
      </c>
      <c r="D88" s="34"/>
      <c r="E88" s="57"/>
      <c r="F88" s="57"/>
      <c r="G88" s="57"/>
      <c r="H88" s="57"/>
      <c r="I88" s="57"/>
      <c r="J88" s="57"/>
      <c r="K88" s="57"/>
      <c r="L88" s="57"/>
      <c r="M88" s="57"/>
      <c r="N88" s="57"/>
      <c r="O88" s="57"/>
      <c r="P88" s="57"/>
      <c r="Q88" s="57"/>
      <c r="R88" s="57"/>
      <c r="S88" s="288" t="s">
        <v>184</v>
      </c>
      <c r="T88" s="104">
        <v>1.5</v>
      </c>
      <c r="U88" s="93" t="s">
        <v>1</v>
      </c>
    </row>
    <row r="89" spans="1:21" ht="15" customHeight="1" hidden="1">
      <c r="A89" s="32"/>
      <c r="B89" s="32"/>
      <c r="C89" s="90" t="s">
        <v>133</v>
      </c>
      <c r="D89" s="86"/>
      <c r="E89" s="58"/>
      <c r="F89" s="59"/>
      <c r="G89" s="58"/>
      <c r="H89" s="58"/>
      <c r="I89" s="58"/>
      <c r="J89" s="58"/>
      <c r="K89" s="58"/>
      <c r="L89" s="58"/>
      <c r="M89" s="58"/>
      <c r="N89" s="58"/>
      <c r="O89" s="58"/>
      <c r="P89" s="58"/>
      <c r="Q89" s="58"/>
      <c r="R89" s="58"/>
      <c r="S89" s="146" t="s">
        <v>114</v>
      </c>
      <c r="T89" s="110">
        <f>T87*0.0013+(1-T85)*2.65</f>
        <v>1.5106690000000003</v>
      </c>
      <c r="U89" s="93" t="s">
        <v>1</v>
      </c>
    </row>
    <row r="90" spans="1:24" s="326" customFormat="1" ht="15" customHeight="1">
      <c r="A90" s="114"/>
      <c r="B90" s="114"/>
      <c r="C90" s="173" t="s">
        <v>188</v>
      </c>
      <c r="D90" s="116"/>
      <c r="E90" s="116"/>
      <c r="F90" s="116"/>
      <c r="G90" s="116"/>
      <c r="H90" s="116"/>
      <c r="I90" s="116"/>
      <c r="J90" s="116"/>
      <c r="K90" s="116"/>
      <c r="L90" s="116"/>
      <c r="M90" s="116"/>
      <c r="N90" s="116"/>
      <c r="O90" s="116"/>
      <c r="P90" s="116"/>
      <c r="Q90" s="116"/>
      <c r="R90" s="116"/>
      <c r="S90" s="136" t="s">
        <v>110</v>
      </c>
      <c r="T90" s="127">
        <v>0.001</v>
      </c>
      <c r="U90" s="117" t="s">
        <v>17</v>
      </c>
      <c r="V90" s="302"/>
      <c r="W90" s="302"/>
      <c r="X90" s="302"/>
    </row>
    <row r="91" spans="1:24" s="326" customFormat="1" ht="15" customHeight="1">
      <c r="A91" s="114"/>
      <c r="B91" s="116"/>
      <c r="C91" s="173" t="s">
        <v>134</v>
      </c>
      <c r="D91" s="116"/>
      <c r="E91" s="116"/>
      <c r="F91" s="116"/>
      <c r="G91" s="116"/>
      <c r="H91" s="116"/>
      <c r="I91" s="116"/>
      <c r="J91" s="116"/>
      <c r="K91" s="116"/>
      <c r="L91" s="116"/>
      <c r="M91" s="116"/>
      <c r="N91" s="116"/>
      <c r="O91" s="116"/>
      <c r="P91" s="116"/>
      <c r="Q91" s="116"/>
      <c r="R91" s="116"/>
      <c r="S91" s="136" t="s">
        <v>0</v>
      </c>
      <c r="T91" s="104">
        <v>20</v>
      </c>
      <c r="U91" s="117" t="s">
        <v>17</v>
      </c>
      <c r="V91" s="302"/>
      <c r="W91" s="302"/>
      <c r="X91" s="302"/>
    </row>
    <row r="92" spans="1:24" s="326" customFormat="1" ht="15" customHeight="1">
      <c r="A92" s="114"/>
      <c r="B92" s="128" t="s">
        <v>117</v>
      </c>
      <c r="C92" s="129"/>
      <c r="D92" s="116"/>
      <c r="E92" s="116"/>
      <c r="F92" s="116"/>
      <c r="G92" s="116"/>
      <c r="H92" s="116"/>
      <c r="I92" s="116"/>
      <c r="J92" s="116"/>
      <c r="K92" s="116"/>
      <c r="L92" s="116"/>
      <c r="M92" s="116"/>
      <c r="N92" s="116"/>
      <c r="O92" s="116"/>
      <c r="P92" s="116"/>
      <c r="Q92" s="116"/>
      <c r="R92" s="116"/>
      <c r="S92" s="136"/>
      <c r="T92" s="175"/>
      <c r="U92" s="51"/>
      <c r="V92" s="302"/>
      <c r="W92" s="302"/>
      <c r="X92" s="302"/>
    </row>
    <row r="93" spans="1:24" s="326" customFormat="1" ht="27.75" customHeight="1">
      <c r="A93" s="114"/>
      <c r="B93" s="128"/>
      <c r="C93" s="438" t="s">
        <v>220</v>
      </c>
      <c r="D93" s="439"/>
      <c r="E93" s="439"/>
      <c r="F93" s="439"/>
      <c r="G93" s="439"/>
      <c r="H93" s="439"/>
      <c r="I93" s="439"/>
      <c r="J93" s="439"/>
      <c r="K93" s="439"/>
      <c r="L93" s="439"/>
      <c r="M93" s="116"/>
      <c r="N93" s="116"/>
      <c r="O93" s="116"/>
      <c r="P93" s="116"/>
      <c r="Q93" s="116"/>
      <c r="R93" s="116"/>
      <c r="S93" s="136"/>
      <c r="T93" s="140"/>
      <c r="U93" s="51"/>
      <c r="V93" s="302"/>
      <c r="W93" s="302"/>
      <c r="X93" s="302"/>
    </row>
    <row r="94" spans="1:21" ht="18.75" customHeight="1" thickBot="1">
      <c r="A94" s="290"/>
      <c r="B94" s="291"/>
      <c r="C94" s="292" t="s">
        <v>165</v>
      </c>
      <c r="D94" s="330"/>
      <c r="E94" s="330"/>
      <c r="F94" s="330"/>
      <c r="G94" s="330"/>
      <c r="H94" s="330"/>
      <c r="I94" s="330"/>
      <c r="J94" s="330"/>
      <c r="K94" s="330"/>
      <c r="L94" s="330"/>
      <c r="M94" s="330"/>
      <c r="N94" s="290"/>
      <c r="O94" s="290"/>
      <c r="P94" s="290"/>
      <c r="Q94" s="290"/>
      <c r="R94" s="290"/>
      <c r="S94" s="293" t="s">
        <v>182</v>
      </c>
      <c r="T94" s="294">
        <v>0.03</v>
      </c>
      <c r="U94" s="295" t="s">
        <v>17</v>
      </c>
    </row>
    <row r="95" spans="1:21" ht="16.5" customHeight="1" hidden="1" thickBot="1">
      <c r="A95" s="63"/>
      <c r="B95" s="63"/>
      <c r="C95" s="63"/>
      <c r="D95" s="63" t="s">
        <v>79</v>
      </c>
      <c r="E95" s="63"/>
      <c r="F95" s="63"/>
      <c r="G95" s="63"/>
      <c r="H95" s="63"/>
      <c r="I95" s="63"/>
      <c r="J95" s="63"/>
      <c r="K95" s="63"/>
      <c r="L95" s="63"/>
      <c r="M95" s="63"/>
      <c r="N95" s="63"/>
      <c r="O95" s="63"/>
      <c r="P95" s="63"/>
      <c r="Q95" s="63"/>
      <c r="R95" s="63"/>
      <c r="S95" s="64" t="s">
        <v>40</v>
      </c>
      <c r="T95" s="65">
        <v>30</v>
      </c>
      <c r="U95" s="176" t="s">
        <v>24</v>
      </c>
    </row>
    <row r="96" spans="1:21" ht="6" customHeight="1" thickTop="1">
      <c r="A96" s="34"/>
      <c r="B96" s="34"/>
      <c r="C96" s="34"/>
      <c r="D96" s="34"/>
      <c r="E96" s="34"/>
      <c r="F96" s="34"/>
      <c r="G96" s="34"/>
      <c r="H96" s="34"/>
      <c r="I96" s="34"/>
      <c r="J96" s="34"/>
      <c r="K96" s="34"/>
      <c r="L96" s="34"/>
      <c r="M96" s="34"/>
      <c r="N96" s="34"/>
      <c r="O96" s="34"/>
      <c r="P96" s="34"/>
      <c r="Q96" s="34"/>
      <c r="R96" s="34"/>
      <c r="S96" s="35"/>
      <c r="T96" s="36"/>
      <c r="U96" s="46"/>
    </row>
    <row r="97" spans="1:21" ht="11.25" customHeight="1">
      <c r="A97" s="34"/>
      <c r="B97" s="34"/>
      <c r="C97" s="34"/>
      <c r="D97" s="34"/>
      <c r="E97" s="34"/>
      <c r="F97" s="34"/>
      <c r="G97" s="34"/>
      <c r="H97" s="34"/>
      <c r="I97" s="34"/>
      <c r="J97" s="34"/>
      <c r="K97" s="34"/>
      <c r="L97" s="34"/>
      <c r="M97" s="34"/>
      <c r="N97" s="34"/>
      <c r="O97" s="34"/>
      <c r="P97" s="34"/>
      <c r="Q97" s="34"/>
      <c r="R97" s="34"/>
      <c r="S97" s="35"/>
      <c r="T97" s="36"/>
      <c r="U97" s="46"/>
    </row>
    <row r="98" spans="1:21" ht="6" customHeight="1" hidden="1">
      <c r="A98" s="34"/>
      <c r="B98" s="34"/>
      <c r="C98" s="34"/>
      <c r="D98" s="34"/>
      <c r="E98" s="34"/>
      <c r="F98" s="34"/>
      <c r="G98" s="34"/>
      <c r="H98" s="34"/>
      <c r="I98" s="34"/>
      <c r="J98" s="34"/>
      <c r="K98" s="34"/>
      <c r="L98" s="34"/>
      <c r="M98" s="34"/>
      <c r="N98" s="34"/>
      <c r="O98" s="34"/>
      <c r="P98" s="34"/>
      <c r="Q98" s="34"/>
      <c r="R98" s="34"/>
      <c r="S98" s="35"/>
      <c r="T98" s="36"/>
      <c r="U98" s="46"/>
    </row>
    <row r="99" spans="1:21" ht="18" customHeight="1">
      <c r="A99" s="34"/>
      <c r="B99" s="66" t="s">
        <v>154</v>
      </c>
      <c r="C99" s="66"/>
      <c r="D99" s="67"/>
      <c r="E99" s="67"/>
      <c r="F99" s="67"/>
      <c r="G99" s="67"/>
      <c r="H99" s="67"/>
      <c r="I99" s="67"/>
      <c r="J99" s="67"/>
      <c r="K99" s="67"/>
      <c r="L99" s="67"/>
      <c r="M99" s="67"/>
      <c r="N99" s="67"/>
      <c r="O99" s="67"/>
      <c r="P99" s="67"/>
      <c r="Q99" s="67"/>
      <c r="R99" s="67"/>
      <c r="S99" s="68"/>
      <c r="T99" s="62"/>
      <c r="U99" s="46"/>
    </row>
    <row r="100" spans="1:21" ht="4.5" customHeight="1" hidden="1">
      <c r="A100" s="34"/>
      <c r="B100" s="66"/>
      <c r="C100" s="66"/>
      <c r="D100" s="67"/>
      <c r="E100" s="67"/>
      <c r="F100" s="67"/>
      <c r="G100" s="67"/>
      <c r="H100" s="67"/>
      <c r="I100" s="67"/>
      <c r="J100" s="67"/>
      <c r="K100" s="67"/>
      <c r="L100" s="67"/>
      <c r="M100" s="67"/>
      <c r="N100" s="67"/>
      <c r="O100" s="67"/>
      <c r="P100" s="67"/>
      <c r="Q100" s="67"/>
      <c r="R100" s="67"/>
      <c r="S100" s="68"/>
      <c r="T100" s="62"/>
      <c r="U100" s="46"/>
    </row>
    <row r="101" spans="1:21" ht="1.5" customHeight="1" hidden="1">
      <c r="A101" s="34"/>
      <c r="B101" s="66"/>
      <c r="C101" s="66"/>
      <c r="D101" s="67"/>
      <c r="E101" s="67"/>
      <c r="F101" s="67"/>
      <c r="G101" s="67"/>
      <c r="H101" s="67"/>
      <c r="I101" s="67"/>
      <c r="J101" s="67"/>
      <c r="K101" s="67"/>
      <c r="L101" s="67"/>
      <c r="M101" s="67"/>
      <c r="N101" s="67"/>
      <c r="O101" s="67"/>
      <c r="P101" s="67"/>
      <c r="Q101" s="67"/>
      <c r="R101" s="67"/>
      <c r="S101" s="68"/>
      <c r="T101" s="62"/>
      <c r="U101" s="46"/>
    </row>
    <row r="102" spans="1:21" ht="16.5" customHeight="1">
      <c r="A102" s="34"/>
      <c r="B102" s="66"/>
      <c r="C102" s="66" t="s">
        <v>135</v>
      </c>
      <c r="D102" s="67"/>
      <c r="E102" s="67" t="str">
        <f>T13</f>
        <v>DDT</v>
      </c>
      <c r="F102" s="67"/>
      <c r="G102" s="67"/>
      <c r="H102" s="67"/>
      <c r="I102" s="67"/>
      <c r="J102" s="67"/>
      <c r="K102" s="67"/>
      <c r="L102" s="67"/>
      <c r="M102" s="67"/>
      <c r="N102" s="67"/>
      <c r="O102" s="67"/>
      <c r="P102" s="67"/>
      <c r="Q102" s="67"/>
      <c r="R102" s="67"/>
      <c r="S102" s="68"/>
      <c r="T102" s="62"/>
      <c r="U102" s="46"/>
    </row>
    <row r="103" spans="1:21" ht="0.75" customHeight="1" hidden="1">
      <c r="A103" s="34"/>
      <c r="B103" s="66"/>
      <c r="C103" s="66"/>
      <c r="D103" s="67"/>
      <c r="E103" s="67"/>
      <c r="F103" s="67"/>
      <c r="G103" s="67"/>
      <c r="H103" s="67"/>
      <c r="I103" s="67"/>
      <c r="J103" s="67"/>
      <c r="K103" s="67"/>
      <c r="L103" s="67"/>
      <c r="M103" s="67"/>
      <c r="N103" s="67"/>
      <c r="O103" s="67"/>
      <c r="P103" s="67"/>
      <c r="Q103" s="67"/>
      <c r="R103" s="67"/>
      <c r="S103" s="68"/>
      <c r="T103" s="62"/>
      <c r="U103" s="46"/>
    </row>
    <row r="104" spans="1:21" ht="18.75" customHeight="1">
      <c r="A104" s="34"/>
      <c r="B104" s="66" t="s">
        <v>136</v>
      </c>
      <c r="C104" s="66"/>
      <c r="D104" s="67"/>
      <c r="E104" s="67"/>
      <c r="F104" s="67"/>
      <c r="G104" s="67"/>
      <c r="H104" s="67"/>
      <c r="I104" s="67"/>
      <c r="J104" s="67"/>
      <c r="K104" s="67"/>
      <c r="L104" s="67"/>
      <c r="M104" s="67"/>
      <c r="N104" s="67"/>
      <c r="O104" s="67"/>
      <c r="P104" s="67"/>
      <c r="Q104" s="67"/>
      <c r="R104" s="67"/>
      <c r="S104" s="68"/>
      <c r="T104" s="62"/>
      <c r="U104" s="46"/>
    </row>
    <row r="105" spans="1:21" ht="33" customHeight="1" thickBot="1">
      <c r="A105" s="34"/>
      <c r="B105" s="66"/>
      <c r="C105" s="66"/>
      <c r="D105" s="67"/>
      <c r="E105" s="67"/>
      <c r="F105" s="67"/>
      <c r="G105" s="67"/>
      <c r="H105" s="67"/>
      <c r="I105" s="67"/>
      <c r="J105" s="67"/>
      <c r="K105" s="67"/>
      <c r="L105" s="67"/>
      <c r="M105" s="67"/>
      <c r="N105" s="67"/>
      <c r="O105" s="67"/>
      <c r="P105" s="67"/>
      <c r="Q105" s="67"/>
      <c r="R105" s="67"/>
      <c r="S105" s="68"/>
      <c r="T105" s="62"/>
      <c r="U105" s="46"/>
    </row>
    <row r="106" spans="1:24" s="326" customFormat="1" ht="15" customHeight="1" thickBot="1">
      <c r="A106" s="116"/>
      <c r="B106" s="131"/>
      <c r="C106" s="435" t="s">
        <v>155</v>
      </c>
      <c r="D106" s="436"/>
      <c r="E106" s="437"/>
      <c r="F106" s="183" t="s">
        <v>146</v>
      </c>
      <c r="G106" s="178"/>
      <c r="H106" s="178"/>
      <c r="I106" s="239" t="s">
        <v>181</v>
      </c>
      <c r="J106" s="129"/>
      <c r="K106" s="129"/>
      <c r="L106" s="129"/>
      <c r="M106" s="129"/>
      <c r="N106" s="129"/>
      <c r="O106" s="129"/>
      <c r="P106" s="129"/>
      <c r="Q106" s="129"/>
      <c r="R106" s="141"/>
      <c r="S106" s="142"/>
      <c r="T106" s="122"/>
      <c r="U106" s="143"/>
      <c r="V106" s="302"/>
      <c r="W106" s="302"/>
      <c r="X106" s="302"/>
    </row>
    <row r="107" spans="1:21" ht="30" customHeight="1">
      <c r="A107" s="34"/>
      <c r="B107" s="69"/>
      <c r="C107" s="440" t="s">
        <v>169</v>
      </c>
      <c r="D107" s="441"/>
      <c r="E107" s="441"/>
      <c r="F107" s="250">
        <f>IF($C$168,MIN(K126,K125,L125,L126,I133),MIN(I126,I125,J125,J126,I133))</f>
        <v>3.49103388897073</v>
      </c>
      <c r="G107" s="251"/>
      <c r="H107" s="237"/>
      <c r="I107" s="240" t="s">
        <v>5</v>
      </c>
      <c r="J107" s="444">
        <f>IF(F110&gt;F113,"Warning: Soil Cleanup Level is higher than Soil Saturation Limit!","")</f>
      </c>
      <c r="K107" s="445"/>
      <c r="L107" s="445"/>
      <c r="M107" s="445"/>
      <c r="N107" s="445"/>
      <c r="O107" s="445"/>
      <c r="P107" s="445"/>
      <c r="Q107" s="445"/>
      <c r="R107" s="445"/>
      <c r="S107" s="445"/>
      <c r="T107" s="445"/>
      <c r="U107" s="95"/>
    </row>
    <row r="108" spans="1:21" ht="16.5" customHeight="1">
      <c r="A108" s="34"/>
      <c r="B108" s="69"/>
      <c r="C108" s="232" t="s">
        <v>170</v>
      </c>
      <c r="D108" s="233"/>
      <c r="E108" s="234"/>
      <c r="F108" s="235" t="str">
        <f>IF(ISBLANK(T19),"N/A",T19)</f>
        <v>N/A</v>
      </c>
      <c r="G108" s="236"/>
      <c r="H108" s="237"/>
      <c r="I108" s="240" t="s">
        <v>5</v>
      </c>
      <c r="J108" s="130"/>
      <c r="K108" s="60"/>
      <c r="L108" s="60"/>
      <c r="M108" s="60"/>
      <c r="N108" s="60"/>
      <c r="O108" s="60"/>
      <c r="P108" s="60"/>
      <c r="Q108" s="60"/>
      <c r="R108" s="68"/>
      <c r="S108" s="62"/>
      <c r="T108" s="37"/>
      <c r="U108" s="95"/>
    </row>
    <row r="109" spans="1:21" ht="20.25" customHeight="1" thickBot="1">
      <c r="A109" s="34"/>
      <c r="B109" s="69"/>
      <c r="C109" s="259" t="s">
        <v>97</v>
      </c>
      <c r="D109" s="260"/>
      <c r="E109" s="261"/>
      <c r="F109" s="262">
        <f>IF(ISBLANK(T20),"N/A",T20)</f>
        <v>0.002</v>
      </c>
      <c r="G109" s="263"/>
      <c r="H109" s="264"/>
      <c r="I109" s="265" t="s">
        <v>5</v>
      </c>
      <c r="J109" s="130"/>
      <c r="K109" s="60"/>
      <c r="L109" s="60"/>
      <c r="M109" s="60"/>
      <c r="N109" s="60"/>
      <c r="O109" s="60"/>
      <c r="P109" s="60"/>
      <c r="Q109" s="60"/>
      <c r="R109" s="68"/>
      <c r="S109" s="62"/>
      <c r="T109" s="37"/>
      <c r="U109" s="95"/>
    </row>
    <row r="110" spans="1:21" ht="20.25" customHeight="1" thickBot="1" thickTop="1">
      <c r="A110" s="34"/>
      <c r="B110" s="69"/>
      <c r="C110" s="284" t="s">
        <v>164</v>
      </c>
      <c r="D110" s="266"/>
      <c r="E110" s="267"/>
      <c r="F110" s="268">
        <f>MAX(F107,F108,F109)</f>
        <v>3.49103388897073</v>
      </c>
      <c r="G110" s="269"/>
      <c r="H110" s="270"/>
      <c r="I110" s="271" t="s">
        <v>5</v>
      </c>
      <c r="J110" s="130"/>
      <c r="K110" s="60"/>
      <c r="L110" s="60"/>
      <c r="M110" s="60"/>
      <c r="N110" s="60"/>
      <c r="O110" s="60"/>
      <c r="P110" s="60"/>
      <c r="Q110" s="60"/>
      <c r="R110" s="68"/>
      <c r="S110" s="62"/>
      <c r="T110" s="37"/>
      <c r="U110" s="95"/>
    </row>
    <row r="111" spans="1:21" ht="34.5" customHeight="1">
      <c r="A111" s="34"/>
      <c r="B111" s="69"/>
      <c r="C111" s="413">
        <f>IF(F110&gt;F112,"Warning! Soil Cleanup Level above may not be protective of vapor exposure pathway - evaluate vapor pathway further.","")</f>
      </c>
      <c r="D111" s="414"/>
      <c r="E111" s="414"/>
      <c r="F111" s="414"/>
      <c r="G111" s="414"/>
      <c r="H111" s="414"/>
      <c r="I111" s="415"/>
      <c r="J111" s="130"/>
      <c r="K111" s="60"/>
      <c r="L111" s="60"/>
      <c r="M111" s="60"/>
      <c r="N111" s="60"/>
      <c r="O111" s="60"/>
      <c r="P111" s="60"/>
      <c r="Q111" s="60"/>
      <c r="R111" s="68"/>
      <c r="S111" s="62"/>
      <c r="T111" s="37"/>
      <c r="U111" s="95"/>
    </row>
    <row r="112" spans="1:21" ht="29.25" customHeight="1" thickBot="1">
      <c r="A112" s="34"/>
      <c r="B112" s="69"/>
      <c r="C112" s="442" t="s">
        <v>168</v>
      </c>
      <c r="D112" s="443"/>
      <c r="E112" s="443"/>
      <c r="F112" s="331">
        <f>IF($C$169,MIN(K141,K142),MIN(I141,I142))</f>
        <v>45.55774879156172</v>
      </c>
      <c r="G112" s="332"/>
      <c r="H112" s="332"/>
      <c r="I112" s="333" t="s">
        <v>5</v>
      </c>
      <c r="J112" s="130"/>
      <c r="K112" s="60"/>
      <c r="L112" s="60"/>
      <c r="M112" s="60"/>
      <c r="N112" s="60"/>
      <c r="O112" s="60"/>
      <c r="P112" s="60"/>
      <c r="Q112" s="60"/>
      <c r="R112" s="68"/>
      <c r="S112" s="62"/>
      <c r="T112" s="37"/>
      <c r="U112" s="95"/>
    </row>
    <row r="113" spans="1:24" s="326" customFormat="1" ht="15" customHeight="1">
      <c r="A113" s="116"/>
      <c r="B113" s="131"/>
      <c r="C113" s="252" t="s">
        <v>185</v>
      </c>
      <c r="D113" s="253"/>
      <c r="E113" s="254"/>
      <c r="F113" s="255">
        <f>Solu/densit*(Hcc*Qa+Qw+Koc*foc*densit)</f>
        <v>3.729737060866164</v>
      </c>
      <c r="G113" s="256"/>
      <c r="H113" s="257"/>
      <c r="I113" s="258" t="s">
        <v>5</v>
      </c>
      <c r="J113" s="179"/>
      <c r="K113" s="116"/>
      <c r="L113" s="116"/>
      <c r="M113" s="116"/>
      <c r="N113" s="116"/>
      <c r="O113" s="116"/>
      <c r="P113" s="116"/>
      <c r="Q113" s="116"/>
      <c r="R113" s="116"/>
      <c r="S113" s="116"/>
      <c r="T113" s="116"/>
      <c r="U113" s="334"/>
      <c r="V113" s="302"/>
      <c r="W113" s="302"/>
      <c r="X113" s="302"/>
    </row>
    <row r="114" spans="1:24" s="326" customFormat="1" ht="15" customHeight="1" thickBot="1">
      <c r="A114" s="116"/>
      <c r="B114" s="131"/>
      <c r="C114" s="177" t="s">
        <v>186</v>
      </c>
      <c r="D114" s="132"/>
      <c r="E114" s="133"/>
      <c r="F114" s="289">
        <f>1+densit*foc*Koc/n</f>
        <v>2365.886046511628</v>
      </c>
      <c r="G114" s="134"/>
      <c r="H114" s="135"/>
      <c r="I114" s="241" t="s">
        <v>17</v>
      </c>
      <c r="J114" s="116"/>
      <c r="K114" s="116"/>
      <c r="L114" s="116"/>
      <c r="M114" s="116"/>
      <c r="N114" s="116"/>
      <c r="O114" s="116"/>
      <c r="P114" s="116"/>
      <c r="Q114" s="116"/>
      <c r="R114" s="116"/>
      <c r="S114" s="116"/>
      <c r="T114" s="116"/>
      <c r="U114" s="334"/>
      <c r="V114" s="302"/>
      <c r="W114" s="302"/>
      <c r="X114" s="302"/>
    </row>
    <row r="115" spans="1:24" s="326" customFormat="1" ht="15" customHeight="1">
      <c r="A115" s="116"/>
      <c r="B115" s="131"/>
      <c r="C115" s="173"/>
      <c r="D115" s="180"/>
      <c r="E115" s="181"/>
      <c r="F115" s="182"/>
      <c r="G115" s="51"/>
      <c r="H115" s="129"/>
      <c r="I115" s="51"/>
      <c r="J115" s="116"/>
      <c r="K115" s="116"/>
      <c r="L115" s="116"/>
      <c r="M115" s="116"/>
      <c r="N115" s="116"/>
      <c r="O115" s="116"/>
      <c r="P115" s="116"/>
      <c r="Q115" s="116"/>
      <c r="R115" s="116"/>
      <c r="S115" s="116"/>
      <c r="T115" s="116"/>
      <c r="U115" s="334"/>
      <c r="V115" s="302"/>
      <c r="W115" s="302"/>
      <c r="X115" s="302"/>
    </row>
    <row r="116" spans="1:24" s="326" customFormat="1" ht="10.5" customHeight="1">
      <c r="A116" s="116"/>
      <c r="B116" s="131"/>
      <c r="C116" s="173"/>
      <c r="D116" s="180"/>
      <c r="E116" s="181"/>
      <c r="F116" s="182"/>
      <c r="G116" s="51"/>
      <c r="H116" s="129"/>
      <c r="I116" s="51"/>
      <c r="J116" s="116"/>
      <c r="K116" s="116"/>
      <c r="L116" s="116"/>
      <c r="M116" s="116"/>
      <c r="N116" s="116"/>
      <c r="O116" s="116"/>
      <c r="P116" s="116"/>
      <c r="Q116" s="116"/>
      <c r="R116" s="116"/>
      <c r="S116" s="116"/>
      <c r="T116" s="116"/>
      <c r="U116" s="334"/>
      <c r="V116" s="302"/>
      <c r="W116" s="302"/>
      <c r="X116" s="302"/>
    </row>
    <row r="117" spans="1:21" ht="18" customHeight="1" thickBot="1">
      <c r="A117" s="34"/>
      <c r="B117" s="33" t="s">
        <v>137</v>
      </c>
      <c r="C117" s="60"/>
      <c r="D117" s="60"/>
      <c r="E117" s="60"/>
      <c r="F117" s="60"/>
      <c r="G117" s="60"/>
      <c r="H117" s="60"/>
      <c r="I117" s="60"/>
      <c r="J117" s="60"/>
      <c r="K117" s="60"/>
      <c r="L117" s="60"/>
      <c r="M117" s="60"/>
      <c r="N117" s="60"/>
      <c r="O117" s="60"/>
      <c r="P117" s="60"/>
      <c r="Q117" s="60"/>
      <c r="R117" s="68"/>
      <c r="S117" s="62"/>
      <c r="T117" s="37"/>
      <c r="U117" s="95"/>
    </row>
    <row r="118" spans="1:21" s="299" customFormat="1" ht="19.5" customHeight="1" thickBot="1">
      <c r="A118" s="34"/>
      <c r="B118" s="69"/>
      <c r="C118" s="313"/>
      <c r="D118" s="314" t="s">
        <v>90</v>
      </c>
      <c r="E118" s="315"/>
      <c r="F118" s="315"/>
      <c r="G118" s="315"/>
      <c r="H118" s="316"/>
      <c r="I118" s="315"/>
      <c r="J118" s="315"/>
      <c r="K118" s="316"/>
      <c r="L118" s="317"/>
      <c r="M118" s="44"/>
      <c r="N118" s="44"/>
      <c r="O118" s="44"/>
      <c r="P118" s="44"/>
      <c r="Q118" s="44"/>
      <c r="R118" s="55"/>
      <c r="S118" s="32"/>
      <c r="T118" s="32"/>
      <c r="U118" s="95"/>
    </row>
    <row r="119" spans="1:21" s="299" customFormat="1" ht="15" customHeight="1" thickTop="1">
      <c r="A119" s="34"/>
      <c r="B119" s="69"/>
      <c r="C119" s="416" t="s">
        <v>96</v>
      </c>
      <c r="D119" s="272"/>
      <c r="E119" s="273"/>
      <c r="F119" s="273"/>
      <c r="G119" s="273"/>
      <c r="H119" s="274"/>
      <c r="I119" s="419" t="s">
        <v>140</v>
      </c>
      <c r="J119" s="420"/>
      <c r="K119" s="448" t="s">
        <v>141</v>
      </c>
      <c r="L119" s="449"/>
      <c r="M119" s="44"/>
      <c r="N119" s="44"/>
      <c r="O119" s="44"/>
      <c r="P119" s="44"/>
      <c r="Q119" s="44"/>
      <c r="R119" s="55"/>
      <c r="S119" s="32"/>
      <c r="T119" s="32"/>
      <c r="U119" s="95"/>
    </row>
    <row r="120" spans="1:21" s="299" customFormat="1" ht="12.75" customHeight="1">
      <c r="A120" s="34"/>
      <c r="B120" s="69"/>
      <c r="C120" s="417"/>
      <c r="D120" s="188"/>
      <c r="E120" s="189"/>
      <c r="F120" s="189"/>
      <c r="G120" s="189"/>
      <c r="H120" s="190"/>
      <c r="I120" s="421" t="s">
        <v>162</v>
      </c>
      <c r="J120" s="422"/>
      <c r="K120" s="450" t="s">
        <v>142</v>
      </c>
      <c r="L120" s="451"/>
      <c r="M120" s="44"/>
      <c r="N120" s="44"/>
      <c r="O120" s="44"/>
      <c r="P120" s="44"/>
      <c r="Q120" s="44"/>
      <c r="R120" s="55"/>
      <c r="S120" s="32"/>
      <c r="T120" s="32"/>
      <c r="U120" s="95"/>
    </row>
    <row r="121" spans="1:21" s="299" customFormat="1" ht="15.75" customHeight="1">
      <c r="A121" s="34"/>
      <c r="B121" s="69"/>
      <c r="C121" s="417"/>
      <c r="D121" s="189"/>
      <c r="E121" s="189"/>
      <c r="F121" s="189"/>
      <c r="G121" s="189"/>
      <c r="H121" s="189"/>
      <c r="I121" s="408" t="s">
        <v>156</v>
      </c>
      <c r="J121" s="409"/>
      <c r="K121" s="446" t="s">
        <v>157</v>
      </c>
      <c r="L121" s="447"/>
      <c r="M121" s="34"/>
      <c r="N121" s="44"/>
      <c r="O121" s="44"/>
      <c r="P121" s="44"/>
      <c r="Q121" s="44"/>
      <c r="R121" s="44"/>
      <c r="S121" s="44"/>
      <c r="T121" s="55"/>
      <c r="U121" s="95"/>
    </row>
    <row r="122" spans="1:21" s="299" customFormat="1" ht="28.5" customHeight="1" thickBot="1">
      <c r="A122" s="34"/>
      <c r="B122" s="34"/>
      <c r="C122" s="417"/>
      <c r="D122" s="228"/>
      <c r="E122" s="194"/>
      <c r="F122" s="194"/>
      <c r="G122" s="194"/>
      <c r="H122" s="193"/>
      <c r="I122" s="229" t="s">
        <v>138</v>
      </c>
      <c r="J122" s="230" t="s">
        <v>139</v>
      </c>
      <c r="K122" s="229" t="s">
        <v>138</v>
      </c>
      <c r="L122" s="231" t="s">
        <v>139</v>
      </c>
      <c r="M122" s="34"/>
      <c r="N122" s="44"/>
      <c r="O122" s="44"/>
      <c r="P122" s="44"/>
      <c r="Q122" s="44"/>
      <c r="R122" s="44"/>
      <c r="S122" s="44"/>
      <c r="T122" s="55"/>
      <c r="U122" s="95"/>
    </row>
    <row r="123" spans="1:21" s="299" customFormat="1" ht="15" customHeight="1">
      <c r="A123" s="34"/>
      <c r="B123" s="34"/>
      <c r="C123" s="417"/>
      <c r="D123" s="425" t="s">
        <v>183</v>
      </c>
      <c r="E123" s="199" t="s">
        <v>171</v>
      </c>
      <c r="F123" s="191"/>
      <c r="G123" s="191"/>
      <c r="H123" s="192"/>
      <c r="I123" s="200">
        <f>IF(ISBLANK(Cs),"N/A",IF(ISBLANK(RfDo),"N/A",Cs/(RfDo*ABW_N*UCF_NS/(SIR_NS*AB1_NS*FOE_NS))))</f>
        <v>0.125</v>
      </c>
      <c r="J123" s="201">
        <f>IF(OR(ISBLANK(AF_NS),ISBLANK(ABS_NS),ISBLANK(GI_NS)),"N/A",IF($E$168,IF(ISBLANK(Cs),"N/A",IF(ISERROR(Cs/(ABW_N*AT_NS)/(EF_NS*ED_NS*((SIR_NS*AB1_NS/(RfDo*1000000))+(SA_NS*AF_NS*ABS_NS/(RfDd*1000000))))),"N/A",IF(Carcino?=2,"N/A",IF(std=1,"N/A",Cs/((ABW_N*AT_NS)/(EF_NS*ED_NS*((SIR_NS*AB1_NS/(RfDo*1000000))+(SA_NS*AF_NS*ABS_NS/(RfDd*1000000))))))))),"N/A"))</f>
        <v>0.18000000000000002</v>
      </c>
      <c r="K123" s="200">
        <f>IF(ISBLANK(Cs),"N/A",IF(ISBLANK(RfDo),"N/A",Cs/(RfDo*70*UCF_NS/(50*AB1_NS*0.4))))</f>
        <v>0.002857142857142857</v>
      </c>
      <c r="L123" s="202">
        <f>IF(OR(ISBLANK(AF_NS),ISBLANK(ABS_NS),ISBLANK(GI_NS)),"N/A",IF($E$168,IF(ISBLANK(Cs),"N/A",IF(ISERROR(Cs/((70*20)/(0.7*20*((50*AB1_NS/(RfDo*1000000))+(2500*AF_NS*ABS_NS/(RfDd*1000000)))))),"N/A",IF(Carcino?=2,"N/A",IF(std=1,"N/A",Cs/((70*20)/(0.7*20*((50*AB1_NS/(RfDo*1000000))+(2500*AF_NS*ABS_NS/(RfDd*1000000))))))))),"N/A"))</f>
        <v>0.015000000000000003</v>
      </c>
      <c r="M123" s="34"/>
      <c r="N123" s="44"/>
      <c r="O123" s="44"/>
      <c r="P123" s="44"/>
      <c r="Q123" s="44"/>
      <c r="R123" s="44"/>
      <c r="S123" s="91"/>
      <c r="T123" s="55"/>
      <c r="U123" s="95"/>
    </row>
    <row r="124" spans="1:21" s="299" customFormat="1" ht="15" customHeight="1" thickBot="1">
      <c r="A124" s="34"/>
      <c r="B124" s="34"/>
      <c r="C124" s="417"/>
      <c r="D124" s="426"/>
      <c r="E124" s="194" t="s">
        <v>172</v>
      </c>
      <c r="F124" s="194"/>
      <c r="G124" s="194"/>
      <c r="H124" s="193"/>
      <c r="I124" s="195">
        <f>IF(ISBLANK(Cs),"N/A",IF(ISBLANK(CPFo),"N/A",Cs/(ABW_CS*LIFE_C*UCF1_CS/(CPFo*SIR_CS*AB1_CS*DUR_CS*FOE_CS))))</f>
        <v>1.7E-06</v>
      </c>
      <c r="J124" s="196">
        <f>IF(OR(ISBLANK(AF_NS),ISBLANK(ABS_NS),ISBLANK(GI_NS)),"N/A",IF($E$168,IF(ISBLANK(Cs),"N/A",IF(ISERROR(Cs/(ABW_CS*AT_CS/(EF_CS*ED_CS*((SIR_CS*AB1_CS*CPFo/1000000)+(SA_CS*AF_CS*ABS_CS*CPFd/1000000))))),"N/A",IF(Carcino?=0,"N/A",IF(std=1,"N/A",Cs/(ABW_CS*AT_CS/(EF_CS*ED_CS*((SIR_CS*AB1_CS*CPFo/1000000)+(SA_CS*AF_CS*ABS_CS*CPFd/1000000)))))))),"N/A"))</f>
        <v>2.448E-06</v>
      </c>
      <c r="K124" s="195">
        <f>IF(ISBLANK(Cs),"N/A",IF(ISBLANK(CPFo),"N/A",Cs/(70*LIFE_C*UCF1_CS/(CPFo*50*AB1_CS*20*0.4))))</f>
        <v>1.2952380952380953E-07</v>
      </c>
      <c r="L124" s="197">
        <f>IF(OR(ISBLANK(AF_NS),ISBLANK(ABS_NS),ISBLANK(GI_NS)),"N/A",IF($E$168,IF(ISBLANK(Cs),"N/A",IF(ISERROR(Cs/(70*AT_CS/(0.7*20*((50*AB1_CS*CPFo/1000000)+(2500*AF_CS*ABS_CS*CPFd/1000000))))),"N/A",IF(Carcino?=0,"N/A",IF(std=1,"N/A",Cs/(70*AT_CS/(0.7*20*((50*AB1_CS*CPFo/1000000)+(2500*AF_CS*ABS_CS*CPFd/1000000)))))))),"N/A"))</f>
        <v>6.800000000000001E-07</v>
      </c>
      <c r="M124" s="34"/>
      <c r="N124" s="44"/>
      <c r="O124" s="44"/>
      <c r="P124" s="44"/>
      <c r="Q124" s="44"/>
      <c r="R124" s="44"/>
      <c r="S124" s="44"/>
      <c r="T124" s="55"/>
      <c r="U124" s="95"/>
    </row>
    <row r="125" spans="1:21" s="299" customFormat="1" ht="15" customHeight="1">
      <c r="A125" s="34"/>
      <c r="B125" s="34"/>
      <c r="C125" s="417"/>
      <c r="D125" s="198" t="s">
        <v>81</v>
      </c>
      <c r="E125" s="285" t="s">
        <v>173</v>
      </c>
      <c r="F125" s="191"/>
      <c r="G125" s="191"/>
      <c r="H125" s="192"/>
      <c r="I125" s="200">
        <f>IF(ISBLANK(RfDo),"N/A",RfDo*ABW_N*UCF_NS*HQ/(SIR_NS*AB1_NS*FOE_NS))</f>
        <v>40</v>
      </c>
      <c r="J125" s="201">
        <f>IF(OR(ISBLANK(AF_NS),ISBLANK(ABS_NS),ISBLANK(GI_NS)),"N/A",IF($E$168,IF(ISERROR((HQ*ABW_N*AT_NS)/(EF_NS*ED_NS*((SIR_NS*AB1_NS/(RfDo*1000000))+(SA_NS*AF_NS*ABS_NS/(RfDd*1000000))))),"N/A",IF(Carcino?=2,"N/A",IF(std=1,"N/A",(HQ*ABW_N*AT_NS)/(EF_NS*ED_NS*((SIR_NS*AB1_NS/(RfDo*1000000))+(SA_NS*AF_NS*ABS_NS/(RfDd*1000000))))))),"N/A"))</f>
        <v>27.777777777777775</v>
      </c>
      <c r="K125" s="200">
        <f>IF(ISBLANK(RfDo),"N/A",RfDo*70*UCF_NS*HQ/(50*AB1_NS*0.4))</f>
        <v>1750</v>
      </c>
      <c r="L125" s="202">
        <f>IF(OR(ISBLANK(AF_NS),ISBLANK(ABS_NS),ISBLANK(GI_NS)),"N/A",IF($E$168,IF(ISERROR((HQ*70*20)/(0.7*20*((50*AB1_NS/(RfDo*1000000))+(2500*AF_NS*ABS_NS/(RfDd*1000000))))),"N/A",IF(Carcino?=2,"N/A",IF(std=1,"N/A",(HQ*70*20)/(0.7*20*((50*AB1_NS/(RfDo*1000000))+(2500*AF_NS*ABS_NS/(RfDd*1000000))))))),"N/A"))</f>
        <v>333.33333333333326</v>
      </c>
      <c r="M125" s="34"/>
      <c r="N125" s="44"/>
      <c r="O125" s="44"/>
      <c r="P125" s="44"/>
      <c r="Q125" s="44"/>
      <c r="R125" s="44"/>
      <c r="S125" s="44"/>
      <c r="T125" s="55"/>
      <c r="U125" s="95"/>
    </row>
    <row r="126" spans="1:21" s="299" customFormat="1" ht="17.25" customHeight="1" thickBot="1">
      <c r="A126" s="34"/>
      <c r="B126" s="34"/>
      <c r="C126" s="418"/>
      <c r="D126" s="275" t="s">
        <v>178</v>
      </c>
      <c r="E126" s="286" t="s">
        <v>174</v>
      </c>
      <c r="F126" s="276"/>
      <c r="G126" s="277"/>
      <c r="H126" s="275"/>
      <c r="I126" s="278">
        <f>IF(ISERROR((RISK*ABW_CS*LIFE_C*UCF1_CS/(CPFo*SIR_CS*AB1_CS*DUR_CS*FOE_CS))),"N/A",(RISK*ABW_CS*LIFE_C*UCF1_CS/(CPFo*SIR_CS*AB1_CS*DUR_CS*FOE_CS)))</f>
        <v>2.9411764705882355</v>
      </c>
      <c r="J126" s="279">
        <f>IF(OR(ISBLANK(AF_NS),ISBLANK(ABS_NS),ISBLANK(GI_NS)),"N/A",IF($E$168,IF(ISERROR(RISK*ABW_CS*AT_CS/(EF_CS*ED_CS*((SIR_CS*AB1_CS*CPFo/1000000)+(SA_CS*AF_CS*ABS_CS*CPFd/1000000)))),"N/A",IF(Carcino?=0,"N/A",IF(std=1,"N/A",RISK*ABW_CS*AT_CS/(EF_CS*ED_CS*((SIR_CS*AB1_CS*CPFo/1000000)+(SA_CS*AF_CS*ABS_CS*CPFd/1000000)))))),"N/A"))</f>
        <v>2.042483660130719</v>
      </c>
      <c r="K126" s="278">
        <f>IF(ISERROR((0.00001*70*LIFE_C*UCF1_CS/(CPFo*50*AB1_CS*20*0.4))),"N/A",(0.00001*70*LIFE_C*UCF1_CS/(CPFo*50*AB1_CS*20*0.4)))</f>
        <v>386.0294117647059</v>
      </c>
      <c r="L126" s="280">
        <f>IF(OR(ISBLANK(AF_NS),ISBLANK(ABS_NS),ISBLANK(GI_NS)),"N/A",IF($E$168,IF(ISERROR(0.00001*70*AT_CS/(0.7*20*((50*AB1_CS*CPFo/1000000)+(2500*AF_CS*ABS_CS*CPFd/1000000)))),"N/A",IF(Carcino?=0,"N/A",IF(std=1,"N/A",0.00001*70*AT_CS/(0.7*20*((50*AB1_CS*CPFo/1000000)+(2500*AF_CS*ABS_CS*CPFd/1000000)))))),"N/A"))</f>
        <v>73.52941176470588</v>
      </c>
      <c r="M126" s="44"/>
      <c r="N126" s="44"/>
      <c r="O126" s="44"/>
      <c r="P126" s="44"/>
      <c r="Q126" s="44"/>
      <c r="R126" s="44"/>
      <c r="S126" s="55"/>
      <c r="T126" s="37"/>
      <c r="U126" s="95"/>
    </row>
    <row r="127" spans="1:21" s="299" customFormat="1" ht="17.25" customHeight="1" thickTop="1">
      <c r="A127" s="34"/>
      <c r="B127" s="34"/>
      <c r="C127" s="410" t="s">
        <v>145</v>
      </c>
      <c r="D127" s="215"/>
      <c r="E127" s="215"/>
      <c r="F127" s="215"/>
      <c r="G127" s="215"/>
      <c r="H127" s="216"/>
      <c r="I127" s="423" t="s">
        <v>140</v>
      </c>
      <c r="J127" s="424"/>
      <c r="K127" s="431" t="s">
        <v>141</v>
      </c>
      <c r="L127" s="432"/>
      <c r="M127" s="44"/>
      <c r="N127" s="44"/>
      <c r="O127" s="44"/>
      <c r="P127" s="44"/>
      <c r="Q127" s="44"/>
      <c r="R127" s="44"/>
      <c r="S127" s="55"/>
      <c r="T127" s="37"/>
      <c r="U127" s="95"/>
    </row>
    <row r="128" spans="1:21" s="299" customFormat="1" ht="15" customHeight="1" thickBot="1">
      <c r="A128" s="34"/>
      <c r="B128" s="34"/>
      <c r="C128" s="411"/>
      <c r="D128" s="226"/>
      <c r="E128" s="220"/>
      <c r="F128" s="220"/>
      <c r="G128" s="220"/>
      <c r="H128" s="227"/>
      <c r="I128" s="433" t="s">
        <v>156</v>
      </c>
      <c r="J128" s="434"/>
      <c r="K128" s="359" t="s">
        <v>158</v>
      </c>
      <c r="L128" s="360"/>
      <c r="M128" s="44"/>
      <c r="N128" s="44"/>
      <c r="O128" s="44"/>
      <c r="P128" s="44"/>
      <c r="Q128" s="44"/>
      <c r="R128" s="44"/>
      <c r="S128" s="55"/>
      <c r="T128" s="37"/>
      <c r="U128" s="95"/>
    </row>
    <row r="129" spans="1:21" ht="26.25" customHeight="1">
      <c r="A129" s="34"/>
      <c r="B129" s="34"/>
      <c r="C129" s="411"/>
      <c r="D129" s="427" t="s">
        <v>183</v>
      </c>
      <c r="E129" s="430" t="s">
        <v>177</v>
      </c>
      <c r="F129" s="430"/>
      <c r="G129" s="430"/>
      <c r="H129" s="225"/>
      <c r="I129" s="375">
        <f>IF(ISBLANK(Cs),"N/A",Cs/((1/1000)*DF*(Koc*foc+(Qw+Qa*Hcc)/densit)))</f>
        <v>0.3686586956563316</v>
      </c>
      <c r="J129" s="376"/>
      <c r="K129" s="376"/>
      <c r="L129" s="377"/>
      <c r="M129" s="44"/>
      <c r="N129" s="44"/>
      <c r="O129" s="44"/>
      <c r="P129" s="44"/>
      <c r="Q129" s="55"/>
      <c r="R129" s="37"/>
      <c r="S129" s="32"/>
      <c r="T129" s="32"/>
      <c r="U129" s="95"/>
    </row>
    <row r="130" spans="1:21" ht="17.25" customHeight="1">
      <c r="A130" s="34"/>
      <c r="B130" s="34"/>
      <c r="C130" s="411"/>
      <c r="D130" s="428"/>
      <c r="E130" s="217" t="s">
        <v>171</v>
      </c>
      <c r="F130" s="218"/>
      <c r="G130" s="218"/>
      <c r="H130" s="219"/>
      <c r="I130" s="363">
        <f>IF(ISERROR(prediGW/(RfDo*ABW_N*UCF_NG/(DWIR_NG*INH_NG*DWF_NG))),"N/A",IF(Carcino?=2,"N/A",prediGW/(RfDo*ABW_N*UCF_NG/(DWIR_NG*INH_NG*DWF_NG))))</f>
        <v>0.04608233695704145</v>
      </c>
      <c r="J130" s="364"/>
      <c r="K130" s="363">
        <f>IF(ISERROR(prediGW/(RfDo*70*UCF_NG/(DWIR_NG*INH_NG*DWF_NG))),"N/A",IF(Carcino?=2,"N/A",prediGW/(RfDo*70*UCF_NG/(2*INH_NG*DWF_NG))))</f>
        <v>0.021066211180361803</v>
      </c>
      <c r="L130" s="367"/>
      <c r="M130" s="44"/>
      <c r="N130" s="44"/>
      <c r="O130" s="44"/>
      <c r="P130" s="44"/>
      <c r="Q130" s="55"/>
      <c r="R130" s="37"/>
      <c r="S130" s="32"/>
      <c r="T130" s="32"/>
      <c r="U130" s="95"/>
    </row>
    <row r="131" spans="1:21" ht="17.25" customHeight="1" thickBot="1">
      <c r="A131" s="34"/>
      <c r="B131" s="34"/>
      <c r="C131" s="411"/>
      <c r="D131" s="429"/>
      <c r="E131" s="220" t="s">
        <v>172</v>
      </c>
      <c r="F131" s="221"/>
      <c r="G131" s="221"/>
      <c r="H131" s="222"/>
      <c r="I131" s="365">
        <f>IF(ISERROR(prediGW/(ABW_CG*LIFE_C*UCF_CG/(CPFo*DWIR_CG*DUR_CG*INH_CG*DWF_CG))),"N/A",IF(Carcino?=0,"N/A",prediGW/(ABW_CG*LIFE_C*UCF_CG/(CPFo*DWIR_CG*DUR_CG*INH_CG*DWF_CG))))</f>
        <v>1.4325023602646029E-06</v>
      </c>
      <c r="J131" s="366"/>
      <c r="K131" s="365">
        <f>IF(ISERROR(prediGW/(ABW_CG*LIFE_C*UCF_CG/(CPFo*DWIR_CG*DUR_CG*INH_CG*DWF_CG))),"N/A",IF(Carcino?=0,"N/A",prediGW/(ABW_CG*LIFE_C*UCF_CG/(CPFo*DWIR_CG*DUR_CG*INH_CG*DWF_CG))))</f>
        <v>1.4325023602646029E-06</v>
      </c>
      <c r="L131" s="368"/>
      <c r="M131" s="44"/>
      <c r="N131" s="44"/>
      <c r="O131" s="44"/>
      <c r="P131" s="44"/>
      <c r="Q131" s="55"/>
      <c r="R131" s="37"/>
      <c r="S131" s="32"/>
      <c r="T131" s="32"/>
      <c r="U131" s="95"/>
    </row>
    <row r="132" spans="1:21" ht="17.25" customHeight="1">
      <c r="A132" s="34"/>
      <c r="B132" s="34"/>
      <c r="C132" s="411"/>
      <c r="D132" s="223" t="s">
        <v>179</v>
      </c>
      <c r="E132" s="223"/>
      <c r="F132" s="223"/>
      <c r="G132" s="223"/>
      <c r="H132" s="224"/>
      <c r="I132" s="372">
        <f>IF(ISBLANK(ARAR_GW),"N/A",ARAR_GW)</f>
        <v>0.2574</v>
      </c>
      <c r="J132" s="373"/>
      <c r="K132" s="373"/>
      <c r="L132" s="374"/>
      <c r="M132" s="44"/>
      <c r="N132" s="44"/>
      <c r="O132" s="44"/>
      <c r="P132" s="44"/>
      <c r="Q132" s="55"/>
      <c r="R132" s="37"/>
      <c r="S132" s="32"/>
      <c r="T132" s="32"/>
      <c r="U132" s="95"/>
    </row>
    <row r="133" spans="1:21" ht="17.25" customHeight="1" thickBot="1">
      <c r="A133" s="34"/>
      <c r="B133" s="34"/>
      <c r="C133" s="412"/>
      <c r="D133" s="281" t="s">
        <v>180</v>
      </c>
      <c r="E133" s="282"/>
      <c r="F133" s="282"/>
      <c r="G133" s="282"/>
      <c r="H133" s="283"/>
      <c r="I133" s="369">
        <f>IF(ISBLANK(ARAR_GW),"N/A",(ARAR_GW/1000)*DF*(Koc*foc+(Qw+Qa*Hcc)/densit))</f>
        <v>3.49103388897073</v>
      </c>
      <c r="J133" s="370"/>
      <c r="K133" s="370"/>
      <c r="L133" s="371"/>
      <c r="M133" s="44"/>
      <c r="N133" s="44"/>
      <c r="O133" s="44"/>
      <c r="P133" s="44"/>
      <c r="Q133" s="55"/>
      <c r="R133" s="37"/>
      <c r="S133" s="32"/>
      <c r="T133" s="32"/>
      <c r="U133" s="95"/>
    </row>
    <row r="134" spans="1:21" ht="17.25" customHeight="1" thickTop="1">
      <c r="A134" s="34"/>
      <c r="B134" s="34"/>
      <c r="C134" s="378" t="s">
        <v>120</v>
      </c>
      <c r="D134" s="203"/>
      <c r="E134" s="204"/>
      <c r="F134" s="204"/>
      <c r="G134" s="204"/>
      <c r="H134" s="205"/>
      <c r="I134" s="389" t="s">
        <v>140</v>
      </c>
      <c r="J134" s="390"/>
      <c r="K134" s="361" t="s">
        <v>141</v>
      </c>
      <c r="L134" s="362"/>
      <c r="M134" s="44"/>
      <c r="N134" s="44"/>
      <c r="O134" s="44"/>
      <c r="P134" s="44"/>
      <c r="Q134" s="55"/>
      <c r="R134" s="37"/>
      <c r="S134" s="32"/>
      <c r="T134" s="32"/>
      <c r="U134" s="95"/>
    </row>
    <row r="135" spans="1:21" ht="17.25" customHeight="1" thickBot="1">
      <c r="A135" s="34"/>
      <c r="B135" s="34"/>
      <c r="C135" s="379"/>
      <c r="D135" s="206"/>
      <c r="E135" s="207"/>
      <c r="F135" s="207"/>
      <c r="G135" s="207"/>
      <c r="H135" s="208"/>
      <c r="I135" s="387" t="s">
        <v>156</v>
      </c>
      <c r="J135" s="388"/>
      <c r="K135" s="400" t="s">
        <v>158</v>
      </c>
      <c r="L135" s="401"/>
      <c r="M135" s="44"/>
      <c r="N135" s="44"/>
      <c r="O135" s="44"/>
      <c r="P135" s="44"/>
      <c r="Q135" s="55"/>
      <c r="R135" s="37"/>
      <c r="S135" s="32"/>
      <c r="T135" s="32"/>
      <c r="U135" s="95"/>
    </row>
    <row r="136" spans="1:21" ht="30" customHeight="1">
      <c r="A136" s="34"/>
      <c r="B136" s="34"/>
      <c r="C136" s="379"/>
      <c r="D136" s="391" t="s">
        <v>183</v>
      </c>
      <c r="E136" s="394" t="s">
        <v>189</v>
      </c>
      <c r="F136" s="395"/>
      <c r="G136" s="395"/>
      <c r="H136" s="210"/>
      <c r="I136" s="383">
        <f>IF(ISBLANK(Cs),"N/A",Cs/((1/1000)*(Koc*foc+(Qw+Qa*Hcc)/densit))*Hcc*1000*VAF)</f>
        <v>0.028244694700996494</v>
      </c>
      <c r="J136" s="402"/>
      <c r="K136" s="402"/>
      <c r="L136" s="396"/>
      <c r="M136" s="44"/>
      <c r="N136" s="44"/>
      <c r="O136" s="44"/>
      <c r="P136" s="44"/>
      <c r="Q136" s="55"/>
      <c r="R136" s="37"/>
      <c r="S136" s="32"/>
      <c r="T136" s="32"/>
      <c r="U136" s="95"/>
    </row>
    <row r="137" spans="1:22" ht="17.25" customHeight="1">
      <c r="A137" s="34"/>
      <c r="B137" s="34"/>
      <c r="C137" s="379"/>
      <c r="D137" s="392"/>
      <c r="E137" s="209" t="s">
        <v>171</v>
      </c>
      <c r="F137" s="209"/>
      <c r="G137" s="209"/>
      <c r="H137" s="210"/>
      <c r="I137" s="403" t="str">
        <f>IF(ISBLANK(Cs),"N/A",IF(ISBLANK(RfDi),"N/A",predAir/(RfDi*ABW_N*UCF_NG/(BR_NA*ABS_NA))))</f>
        <v>N/A</v>
      </c>
      <c r="J137" s="404"/>
      <c r="K137" s="403" t="str">
        <f>IF(ISBLANK(Cs),"N/A",IF(ISBLANK(RfDi),"N/A",predAir/(RfDi*70*UCF_NG/(20*ABS_NA))))</f>
        <v>N/A</v>
      </c>
      <c r="L137" s="405"/>
      <c r="M137" s="44"/>
      <c r="N137" s="34"/>
      <c r="O137" s="44"/>
      <c r="P137" s="44"/>
      <c r="Q137" s="44"/>
      <c r="R137" s="44"/>
      <c r="S137" s="44"/>
      <c r="T137" s="44"/>
      <c r="U137" s="94"/>
      <c r="V137" s="305"/>
    </row>
    <row r="138" spans="1:22" ht="17.25" customHeight="1" thickBot="1">
      <c r="A138" s="34"/>
      <c r="B138" s="34"/>
      <c r="C138" s="379"/>
      <c r="D138" s="393"/>
      <c r="E138" s="214" t="s">
        <v>172</v>
      </c>
      <c r="F138" s="214"/>
      <c r="G138" s="214"/>
      <c r="H138" s="213"/>
      <c r="I138" s="381">
        <f>IF(ISBLANK(Cs),"N/A",IF(ISBLANK(CPFi),"N/A",predAir/((ABW_CA*LIFE_C*UCF_CA)/(CPFi*BR_CA*ABS_CA*DUR_CA))))</f>
        <v>1.0975081369530067E-06</v>
      </c>
      <c r="J138" s="382"/>
      <c r="K138" s="381">
        <f>IF(ISBLANK(Cs),"N/A",IF(ISBLANK(CPFi),"N/A",predAir/((ABW_CA*LIFE_C*UCF_CA)/(CPFi*BR_CA*ABS_CA*DUR_CA))))</f>
        <v>1.0975081369530067E-06</v>
      </c>
      <c r="L138" s="407"/>
      <c r="M138" s="44"/>
      <c r="N138" s="34"/>
      <c r="O138" s="44"/>
      <c r="P138" s="44"/>
      <c r="Q138" s="44"/>
      <c r="R138" s="44"/>
      <c r="S138" s="44"/>
      <c r="T138" s="44"/>
      <c r="U138" s="94"/>
      <c r="V138" s="305"/>
    </row>
    <row r="139" spans="1:22" ht="17.25" customHeight="1">
      <c r="A139" s="34"/>
      <c r="B139" s="34"/>
      <c r="C139" s="379"/>
      <c r="D139" s="211" t="s">
        <v>118</v>
      </c>
      <c r="E139" s="209" t="s">
        <v>143</v>
      </c>
      <c r="F139" s="209"/>
      <c r="G139" s="209"/>
      <c r="H139" s="210"/>
      <c r="I139" s="383" t="str">
        <f>IF(ISBLANK(RfDi),"N/A",((((RfDi*ABW_N*UCF_NG*HQ)/(BR_NA*ABS_NA)))))</f>
        <v>N/A</v>
      </c>
      <c r="J139" s="384"/>
      <c r="K139" s="383" t="str">
        <f>IF(ISBLANK(RfDi),"N/A",((((RfDi*70*UCF_NG*HQ)/(20*ABS_NA)))))</f>
        <v>N/A</v>
      </c>
      <c r="L139" s="396"/>
      <c r="M139" s="44"/>
      <c r="N139" s="34"/>
      <c r="O139" s="44"/>
      <c r="P139" s="44"/>
      <c r="Q139" s="44"/>
      <c r="R139" s="44"/>
      <c r="S139" s="44"/>
      <c r="T139" s="44"/>
      <c r="U139" s="94"/>
      <c r="V139" s="305"/>
    </row>
    <row r="140" spans="1:22" ht="17.25" customHeight="1">
      <c r="A140" s="34"/>
      <c r="B140" s="34"/>
      <c r="C140" s="379"/>
      <c r="D140" s="210" t="s">
        <v>175</v>
      </c>
      <c r="E140" s="319" t="s">
        <v>144</v>
      </c>
      <c r="F140" s="319"/>
      <c r="G140" s="209"/>
      <c r="H140" s="210"/>
      <c r="I140" s="385">
        <f>IF(ISBLANK(CPFi),"N/A",((((RISK*ABW_CA*LIFE_C*UCF_CA)/(CPFi*BR_CA*ABS_CA*DUR_CA)))))</f>
        <v>0.02573529411764705</v>
      </c>
      <c r="J140" s="386"/>
      <c r="K140" s="385">
        <f>IF(ISBLANK(CPFi),"N/A",((((0.00001*ABW_CA*LIFE_C*UCF_CA)/(CPFi*BR_CA*ABS_CA*DUR_CA)))))</f>
        <v>0.25735294117647056</v>
      </c>
      <c r="L140" s="397"/>
      <c r="M140" s="44"/>
      <c r="N140" s="34"/>
      <c r="O140" s="44"/>
      <c r="P140" s="44"/>
      <c r="Q140" s="44"/>
      <c r="R140" s="44"/>
      <c r="S140" s="44"/>
      <c r="T140" s="44"/>
      <c r="U140" s="94"/>
      <c r="V140" s="305"/>
    </row>
    <row r="141" spans="1:22" ht="17.25" customHeight="1">
      <c r="A141" s="34"/>
      <c r="B141" s="34"/>
      <c r="C141" s="379"/>
      <c r="D141" s="211" t="s">
        <v>81</v>
      </c>
      <c r="E141" s="212" t="s">
        <v>143</v>
      </c>
      <c r="F141" s="209"/>
      <c r="G141" s="209"/>
      <c r="H141" s="210"/>
      <c r="I141" s="385" t="str">
        <f>IF(ISBLANK(RfDi),"N/A",(((RfDi*ABW_N*UCF_NG*HQ/(BR_NA*ABS_NA))/1000)/VAF/Hcc)/1000*(Koc*foc+(Qw+Qa*Hcc)/densit))</f>
        <v>N/A</v>
      </c>
      <c r="J141" s="386"/>
      <c r="K141" s="385" t="str">
        <f>IF(ISBLANK(RfDi),"N/A",(((RfDi*70*UCF_NG*HQ/(20*ABS_NA))/1000)*VAF/Hcc)/1000*(Koc*foc+(Qw+Qa*Hcc)/densit))</f>
        <v>N/A</v>
      </c>
      <c r="L141" s="397"/>
      <c r="M141" s="44"/>
      <c r="N141" s="34"/>
      <c r="O141" s="44"/>
      <c r="P141" s="44"/>
      <c r="Q141" s="44"/>
      <c r="R141" s="44"/>
      <c r="S141" s="44"/>
      <c r="T141" s="44"/>
      <c r="U141" s="94"/>
      <c r="V141" s="305"/>
    </row>
    <row r="142" spans="1:22" ht="17.25" customHeight="1" thickBot="1">
      <c r="A142" s="34"/>
      <c r="B142" s="34"/>
      <c r="C142" s="380"/>
      <c r="D142" s="213" t="s">
        <v>176</v>
      </c>
      <c r="E142" s="320" t="s">
        <v>144</v>
      </c>
      <c r="F142" s="214"/>
      <c r="G142" s="214"/>
      <c r="H142" s="213"/>
      <c r="I142" s="398">
        <f>IF(ISERROR(((((RISK*ABW_CA*LIFE_C*UCF_CA)/(CPFi*BR_CA*ABS_CA*DUR_CA))/1000)/VAF/Hcc)/1000*(Koc*foc+(Qw+Qa*Hcc)/densit)),"N/A",((((RISK*ABW_CA*LIFE_C*UCF_CA)/(CPFi*BR_CA*ABS_CA*DUR_CA))/1000)/VAF/Hcc)/1000*(Koc*foc+(Qw+Qa*Hcc)/densit))</f>
        <v>4.555774879156171</v>
      </c>
      <c r="J142" s="399"/>
      <c r="K142" s="398">
        <f>IF(ISERROR(((((RISK*ABW_CA*LIFE_C*UCF_CA)/(CPFi*BR_CA*ABS_CA*DUR_CA))/1000)/VAF/Hcc)/1000*(Koc*foc+(Qw+Qa*Hcc)/densit)),"N/A",((((0.00001*ABW_CA*LIFE_C*UCF_CA)/(CPFi*BR_CA*ABS_CA*DUR_CA))/1000)/VAF/Hcc)/1000*(Koc*foc+(Qw+Qa*Hcc)/densit))</f>
        <v>45.55774879156172</v>
      </c>
      <c r="L142" s="406"/>
      <c r="M142" s="44"/>
      <c r="N142" s="34"/>
      <c r="O142" s="44"/>
      <c r="P142" s="44"/>
      <c r="Q142" s="44"/>
      <c r="R142" s="44"/>
      <c r="S142" s="44"/>
      <c r="T142" s="44"/>
      <c r="U142" s="94"/>
      <c r="V142" s="305"/>
    </row>
    <row r="143" spans="1:21" ht="13.5" customHeight="1">
      <c r="A143" s="34"/>
      <c r="B143" s="34"/>
      <c r="C143" s="32"/>
      <c r="D143" s="32"/>
      <c r="E143" s="32"/>
      <c r="F143" s="32"/>
      <c r="G143" s="32"/>
      <c r="H143" s="32"/>
      <c r="I143" s="32"/>
      <c r="J143" s="44"/>
      <c r="K143" s="44"/>
      <c r="L143" s="44"/>
      <c r="M143" s="34"/>
      <c r="N143" s="44"/>
      <c r="O143" s="44"/>
      <c r="P143" s="44"/>
      <c r="Q143" s="44"/>
      <c r="R143" s="44"/>
      <c r="S143" s="44"/>
      <c r="T143" s="55"/>
      <c r="U143" s="46"/>
    </row>
    <row r="144" spans="1:21" ht="16.5" customHeight="1" hidden="1">
      <c r="A144" s="34"/>
      <c r="B144" s="34"/>
      <c r="C144" s="34"/>
      <c r="D144" s="34"/>
      <c r="E144" s="34"/>
      <c r="F144" s="34"/>
      <c r="G144" s="34"/>
      <c r="H144" s="34"/>
      <c r="I144" s="34"/>
      <c r="J144" s="34"/>
      <c r="K144" s="34"/>
      <c r="L144" s="34"/>
      <c r="M144" s="34"/>
      <c r="N144" s="34"/>
      <c r="O144" s="34"/>
      <c r="P144" s="34"/>
      <c r="Q144" s="34"/>
      <c r="R144" s="34"/>
      <c r="S144" s="35"/>
      <c r="T144" s="36"/>
      <c r="U144" s="46"/>
    </row>
    <row r="145" spans="1:21" ht="3" customHeight="1">
      <c r="A145" s="34"/>
      <c r="B145" s="34"/>
      <c r="C145" s="61"/>
      <c r="D145" s="34"/>
      <c r="E145" s="34"/>
      <c r="F145" s="34"/>
      <c r="G145" s="34"/>
      <c r="H145" s="34"/>
      <c r="I145" s="34"/>
      <c r="J145" s="34"/>
      <c r="K145" s="34"/>
      <c r="L145" s="34"/>
      <c r="M145" s="34"/>
      <c r="N145" s="34"/>
      <c r="O145" s="34"/>
      <c r="P145" s="34"/>
      <c r="Q145" s="34"/>
      <c r="R145" s="34"/>
      <c r="S145" s="35"/>
      <c r="T145" s="36"/>
      <c r="U145" s="46"/>
    </row>
    <row r="146" spans="1:21" ht="15" customHeight="1" hidden="1">
      <c r="A146" s="34"/>
      <c r="B146" s="34"/>
      <c r="C146" s="34"/>
      <c r="D146" s="34"/>
      <c r="E146" s="34"/>
      <c r="F146" s="34"/>
      <c r="G146" s="34"/>
      <c r="H146" s="34"/>
      <c r="I146" s="34"/>
      <c r="J146" s="34"/>
      <c r="K146" s="34"/>
      <c r="L146" s="34"/>
      <c r="M146" s="34"/>
      <c r="N146" s="34"/>
      <c r="O146" s="34"/>
      <c r="P146" s="34"/>
      <c r="Q146" s="34"/>
      <c r="R146" s="34"/>
      <c r="S146" s="35"/>
      <c r="T146" s="36"/>
      <c r="U146" s="46"/>
    </row>
    <row r="147" spans="1:21" ht="15" customHeight="1">
      <c r="A147" s="34"/>
      <c r="B147" s="34"/>
      <c r="C147" s="296" t="s">
        <v>190</v>
      </c>
      <c r="D147" s="34"/>
      <c r="E147" s="34"/>
      <c r="F147" s="34"/>
      <c r="G147" s="34"/>
      <c r="H147" s="34"/>
      <c r="I147" s="34"/>
      <c r="J147" s="34"/>
      <c r="K147" s="34"/>
      <c r="L147" s="34"/>
      <c r="M147" s="34"/>
      <c r="N147" s="34"/>
      <c r="O147" s="34"/>
      <c r="P147" s="34"/>
      <c r="Q147" s="34"/>
      <c r="R147" s="34"/>
      <c r="S147" s="35"/>
      <c r="T147" s="36"/>
      <c r="U147" s="46"/>
    </row>
    <row r="148" spans="1:21" ht="46.5" customHeight="1">
      <c r="A148" s="34"/>
      <c r="B148" s="34"/>
      <c r="C148" s="353" t="s">
        <v>205</v>
      </c>
      <c r="D148" s="354"/>
      <c r="E148" s="354"/>
      <c r="F148" s="354"/>
      <c r="G148" s="354"/>
      <c r="H148" s="354"/>
      <c r="I148" s="354"/>
      <c r="J148" s="354"/>
      <c r="K148" s="354"/>
      <c r="L148" s="354"/>
      <c r="M148" s="354"/>
      <c r="N148" s="354"/>
      <c r="O148" s="354"/>
      <c r="P148" s="354"/>
      <c r="Q148" s="354"/>
      <c r="R148" s="354"/>
      <c r="S148" s="354"/>
      <c r="T148" s="354"/>
      <c r="U148" s="354"/>
    </row>
    <row r="149" spans="1:21" ht="15" customHeight="1">
      <c r="A149" s="34"/>
      <c r="B149" s="34"/>
      <c r="C149" s="34"/>
      <c r="D149" s="34"/>
      <c r="E149" s="34"/>
      <c r="F149" s="34"/>
      <c r="G149" s="34"/>
      <c r="H149" s="34"/>
      <c r="I149" s="34"/>
      <c r="J149" s="34"/>
      <c r="K149" s="34"/>
      <c r="L149" s="34"/>
      <c r="M149" s="34"/>
      <c r="N149" s="34"/>
      <c r="O149" s="34"/>
      <c r="P149" s="34"/>
      <c r="Q149" s="34"/>
      <c r="R149" s="34"/>
      <c r="S149" s="35"/>
      <c r="T149" s="36"/>
      <c r="U149" s="46"/>
    </row>
    <row r="150" spans="1:21" ht="15" customHeight="1">
      <c r="A150" s="34"/>
      <c r="B150" s="34"/>
      <c r="C150" s="34"/>
      <c r="D150" s="34"/>
      <c r="E150" s="34"/>
      <c r="F150" s="34"/>
      <c r="G150" s="34"/>
      <c r="H150" s="34"/>
      <c r="I150" s="34"/>
      <c r="J150" s="34"/>
      <c r="K150" s="34"/>
      <c r="L150" s="34"/>
      <c r="M150" s="34"/>
      <c r="N150" s="34"/>
      <c r="O150" s="34"/>
      <c r="P150" s="34"/>
      <c r="Q150" s="34"/>
      <c r="R150" s="34"/>
      <c r="S150" s="35"/>
      <c r="T150" s="36"/>
      <c r="U150" s="46"/>
    </row>
    <row r="151" spans="1:21" ht="18" customHeight="1">
      <c r="A151" s="32"/>
      <c r="B151" s="32"/>
      <c r="C151" s="32"/>
      <c r="D151" s="34"/>
      <c r="E151" s="34"/>
      <c r="F151" s="34"/>
      <c r="G151" s="34"/>
      <c r="H151" s="34"/>
      <c r="I151" s="34"/>
      <c r="J151" s="34"/>
      <c r="K151" s="34"/>
      <c r="L151" s="34"/>
      <c r="M151" s="34"/>
      <c r="N151" s="34"/>
      <c r="O151" s="34"/>
      <c r="P151" s="34"/>
      <c r="Q151" s="34"/>
      <c r="R151" s="34"/>
      <c r="S151" s="35"/>
      <c r="T151" s="36"/>
      <c r="U151" s="46"/>
    </row>
    <row r="152" spans="1:21" ht="18" customHeight="1">
      <c r="A152" s="32"/>
      <c r="B152" s="32"/>
      <c r="C152" s="32"/>
      <c r="D152" s="34"/>
      <c r="E152" s="34"/>
      <c r="F152" s="34"/>
      <c r="G152" s="34"/>
      <c r="H152" s="34"/>
      <c r="I152" s="34"/>
      <c r="J152" s="34"/>
      <c r="K152" s="34"/>
      <c r="L152" s="34"/>
      <c r="M152" s="34"/>
      <c r="N152" s="34"/>
      <c r="O152" s="34"/>
      <c r="P152" s="34"/>
      <c r="Q152" s="34"/>
      <c r="R152" s="34"/>
      <c r="S152" s="35"/>
      <c r="T152" s="36"/>
      <c r="U152" s="46"/>
    </row>
    <row r="153" spans="1:21" ht="18" customHeight="1">
      <c r="A153" s="32"/>
      <c r="B153" s="32"/>
      <c r="C153" s="32"/>
      <c r="D153" s="34"/>
      <c r="E153" s="34"/>
      <c r="F153" s="34"/>
      <c r="G153" s="34"/>
      <c r="H153" s="34"/>
      <c r="I153" s="34"/>
      <c r="J153" s="34"/>
      <c r="K153" s="34"/>
      <c r="L153" s="34"/>
      <c r="M153" s="34"/>
      <c r="N153" s="34"/>
      <c r="O153" s="34"/>
      <c r="P153" s="34"/>
      <c r="Q153" s="34"/>
      <c r="R153" s="34"/>
      <c r="S153" s="35"/>
      <c r="T153" s="36"/>
      <c r="U153" s="46"/>
    </row>
    <row r="154" spans="1:21" ht="18" customHeight="1">
      <c r="A154" s="32"/>
      <c r="B154" s="32"/>
      <c r="C154" s="32"/>
      <c r="D154" s="34"/>
      <c r="E154" s="34"/>
      <c r="F154" s="34"/>
      <c r="G154" s="34"/>
      <c r="H154" s="34"/>
      <c r="I154" s="34"/>
      <c r="J154" s="34"/>
      <c r="K154" s="34"/>
      <c r="L154" s="34"/>
      <c r="M154" s="34"/>
      <c r="N154" s="34"/>
      <c r="O154" s="34"/>
      <c r="P154" s="34"/>
      <c r="Q154" s="34"/>
      <c r="R154" s="34"/>
      <c r="S154" s="35"/>
      <c r="T154" s="36"/>
      <c r="U154" s="46"/>
    </row>
    <row r="155" spans="1:21" ht="18" customHeight="1">
      <c r="A155" s="32"/>
      <c r="B155" s="32"/>
      <c r="C155" s="32"/>
      <c r="D155" s="34"/>
      <c r="E155" s="34"/>
      <c r="F155" s="34"/>
      <c r="G155" s="34"/>
      <c r="H155" s="34"/>
      <c r="I155" s="34"/>
      <c r="J155" s="34"/>
      <c r="K155" s="34"/>
      <c r="L155" s="34"/>
      <c r="M155" s="34"/>
      <c r="N155" s="34"/>
      <c r="O155" s="34"/>
      <c r="P155" s="34"/>
      <c r="Q155" s="34"/>
      <c r="R155" s="34"/>
      <c r="S155" s="35"/>
      <c r="T155" s="36"/>
      <c r="U155" s="46"/>
    </row>
    <row r="156" spans="1:21" ht="18" customHeight="1">
      <c r="A156" s="32"/>
      <c r="B156" s="32"/>
      <c r="C156" s="32"/>
      <c r="D156" s="34"/>
      <c r="E156" s="34"/>
      <c r="F156" s="34"/>
      <c r="G156" s="34"/>
      <c r="H156" s="34"/>
      <c r="I156" s="34"/>
      <c r="J156" s="34"/>
      <c r="K156" s="34"/>
      <c r="L156" s="34"/>
      <c r="M156" s="34"/>
      <c r="N156" s="34"/>
      <c r="O156" s="34"/>
      <c r="P156" s="34"/>
      <c r="Q156" s="34"/>
      <c r="R156" s="34"/>
      <c r="S156" s="35"/>
      <c r="T156" s="36"/>
      <c r="U156" s="46"/>
    </row>
    <row r="157" spans="1:21" ht="18" customHeight="1">
      <c r="A157" s="32"/>
      <c r="B157" s="32"/>
      <c r="C157" s="32"/>
      <c r="D157" s="34"/>
      <c r="E157" s="34"/>
      <c r="F157" s="34"/>
      <c r="G157" s="34"/>
      <c r="H157" s="34"/>
      <c r="I157" s="34"/>
      <c r="J157" s="34"/>
      <c r="K157" s="34"/>
      <c r="L157" s="34"/>
      <c r="M157" s="34"/>
      <c r="N157" s="34"/>
      <c r="O157" s="34"/>
      <c r="P157" s="34"/>
      <c r="Q157" s="34"/>
      <c r="R157" s="34"/>
      <c r="S157" s="35"/>
      <c r="T157" s="36"/>
      <c r="U157" s="46"/>
    </row>
    <row r="158" spans="1:21" ht="18" customHeight="1">
      <c r="A158" s="32"/>
      <c r="B158" s="32"/>
      <c r="C158" s="32"/>
      <c r="D158" s="34"/>
      <c r="E158" s="34"/>
      <c r="F158" s="34"/>
      <c r="G158" s="34"/>
      <c r="H158" s="34"/>
      <c r="I158" s="34"/>
      <c r="J158" s="34"/>
      <c r="K158" s="34"/>
      <c r="L158" s="34"/>
      <c r="M158" s="34"/>
      <c r="N158" s="34"/>
      <c r="O158" s="34"/>
      <c r="P158" s="34"/>
      <c r="Q158" s="34"/>
      <c r="R158" s="34"/>
      <c r="S158" s="35"/>
      <c r="T158" s="36"/>
      <c r="U158" s="46"/>
    </row>
    <row r="159" spans="1:21" ht="18" customHeight="1">
      <c r="A159" s="32"/>
      <c r="B159" s="32"/>
      <c r="C159" s="32"/>
      <c r="D159" s="34"/>
      <c r="E159" s="34"/>
      <c r="F159" s="34"/>
      <c r="G159" s="34"/>
      <c r="H159" s="34"/>
      <c r="I159" s="34"/>
      <c r="J159" s="34"/>
      <c r="K159" s="34"/>
      <c r="L159" s="34"/>
      <c r="M159" s="34"/>
      <c r="N159" s="34"/>
      <c r="O159" s="34"/>
      <c r="P159" s="34"/>
      <c r="Q159" s="34"/>
      <c r="R159" s="34"/>
      <c r="S159" s="35"/>
      <c r="T159" s="36"/>
      <c r="U159" s="46"/>
    </row>
    <row r="160" spans="1:21" ht="18" customHeight="1">
      <c r="A160" s="32"/>
      <c r="B160" s="32"/>
      <c r="C160" s="32"/>
      <c r="D160" s="34"/>
      <c r="E160" s="34"/>
      <c r="F160" s="34"/>
      <c r="G160" s="34"/>
      <c r="H160" s="34"/>
      <c r="I160" s="34"/>
      <c r="J160" s="34"/>
      <c r="K160" s="34"/>
      <c r="L160" s="34"/>
      <c r="M160" s="34"/>
      <c r="N160" s="34"/>
      <c r="O160" s="34"/>
      <c r="P160" s="34"/>
      <c r="Q160" s="34"/>
      <c r="R160" s="34"/>
      <c r="S160" s="35"/>
      <c r="T160" s="36"/>
      <c r="U160" s="46"/>
    </row>
    <row r="161" spans="1:21" ht="18" customHeight="1">
      <c r="A161" s="32"/>
      <c r="B161" s="32"/>
      <c r="C161" s="32"/>
      <c r="D161" s="34"/>
      <c r="E161" s="34"/>
      <c r="F161" s="34"/>
      <c r="G161" s="34"/>
      <c r="H161" s="34"/>
      <c r="I161" s="34"/>
      <c r="J161" s="34"/>
      <c r="K161" s="34"/>
      <c r="L161" s="34"/>
      <c r="M161" s="34"/>
      <c r="N161" s="34"/>
      <c r="O161" s="34"/>
      <c r="P161" s="34"/>
      <c r="Q161" s="34"/>
      <c r="R161" s="34"/>
      <c r="S161" s="35"/>
      <c r="T161" s="36"/>
      <c r="U161" s="46"/>
    </row>
    <row r="162" spans="1:21" ht="18" customHeight="1">
      <c r="A162" s="32"/>
      <c r="B162" s="32"/>
      <c r="C162" s="32"/>
      <c r="D162" s="34"/>
      <c r="E162" s="34"/>
      <c r="F162" s="34"/>
      <c r="G162" s="34"/>
      <c r="H162" s="34"/>
      <c r="I162" s="34"/>
      <c r="J162" s="34"/>
      <c r="K162" s="34"/>
      <c r="L162" s="34"/>
      <c r="M162" s="34"/>
      <c r="N162" s="34"/>
      <c r="O162" s="34"/>
      <c r="P162" s="34"/>
      <c r="Q162" s="34"/>
      <c r="R162" s="34"/>
      <c r="S162" s="35"/>
      <c r="T162" s="36"/>
      <c r="U162" s="46"/>
    </row>
    <row r="163" spans="1:21" ht="18" customHeight="1">
      <c r="A163" s="32"/>
      <c r="B163" s="32"/>
      <c r="C163" s="32"/>
      <c r="D163" s="34"/>
      <c r="E163" s="34"/>
      <c r="F163" s="34"/>
      <c r="G163" s="34"/>
      <c r="H163" s="34"/>
      <c r="I163" s="34"/>
      <c r="J163" s="34"/>
      <c r="K163" s="34"/>
      <c r="L163" s="34"/>
      <c r="M163" s="34"/>
      <c r="N163" s="34"/>
      <c r="O163" s="34"/>
      <c r="P163" s="34"/>
      <c r="Q163" s="34"/>
      <c r="R163" s="34"/>
      <c r="S163" s="35"/>
      <c r="T163" s="36"/>
      <c r="U163" s="46"/>
    </row>
    <row r="164" spans="1:21" ht="18" customHeight="1">
      <c r="A164" s="32"/>
      <c r="B164" s="32"/>
      <c r="C164" s="32"/>
      <c r="D164" s="34"/>
      <c r="E164" s="34"/>
      <c r="F164" s="34"/>
      <c r="G164" s="34"/>
      <c r="H164" s="34"/>
      <c r="I164" s="34"/>
      <c r="J164" s="34"/>
      <c r="K164" s="34"/>
      <c r="L164" s="34"/>
      <c r="M164" s="34"/>
      <c r="N164" s="34"/>
      <c r="O164" s="34"/>
      <c r="P164" s="34"/>
      <c r="Q164" s="34"/>
      <c r="R164" s="34"/>
      <c r="S164" s="35"/>
      <c r="T164" s="36"/>
      <c r="U164" s="46"/>
    </row>
    <row r="165" spans="1:21" ht="18" customHeight="1">
      <c r="A165" s="299"/>
      <c r="B165" s="299"/>
      <c r="C165" s="299"/>
      <c r="D165" s="311"/>
      <c r="E165" s="311"/>
      <c r="F165" s="311"/>
      <c r="G165" s="311"/>
      <c r="H165" s="311"/>
      <c r="I165" s="311"/>
      <c r="J165" s="311"/>
      <c r="K165" s="311"/>
      <c r="L165" s="311"/>
      <c r="M165" s="311"/>
      <c r="N165" s="311"/>
      <c r="O165" s="311"/>
      <c r="P165" s="311"/>
      <c r="Q165" s="311"/>
      <c r="R165" s="311"/>
      <c r="S165" s="309"/>
      <c r="T165" s="310"/>
      <c r="U165" s="312"/>
    </row>
    <row r="166" spans="20:21" ht="18" customHeight="1">
      <c r="T166" s="71"/>
      <c r="U166" s="187"/>
    </row>
    <row r="167" spans="3:21" ht="18" customHeight="1" hidden="1">
      <c r="C167" s="299" t="s">
        <v>93</v>
      </c>
      <c r="D167" s="299"/>
      <c r="E167" s="299" t="s">
        <v>94</v>
      </c>
      <c r="T167" s="71"/>
      <c r="U167" s="187"/>
    </row>
    <row r="168" spans="3:5" ht="18" customHeight="1" hidden="1">
      <c r="C168" s="303" t="b">
        <v>1</v>
      </c>
      <c r="D168" s="302"/>
      <c r="E168" s="303" t="b">
        <v>1</v>
      </c>
    </row>
    <row r="169" spans="3:5" ht="18" customHeight="1" hidden="1">
      <c r="C169" s="304" t="b">
        <v>1</v>
      </c>
      <c r="D169" s="299"/>
      <c r="E169" s="299"/>
    </row>
    <row r="170" ht="18" customHeight="1" hidden="1"/>
    <row r="171" ht="18" customHeight="1" hidden="1"/>
    <row r="172" ht="18" customHeight="1" hidden="1"/>
  </sheetData>
  <sheetProtection/>
  <mergeCells count="50">
    <mergeCell ref="K127:L127"/>
    <mergeCell ref="I128:J128"/>
    <mergeCell ref="C106:E106"/>
    <mergeCell ref="C93:L93"/>
    <mergeCell ref="C107:E107"/>
    <mergeCell ref="C112:E112"/>
    <mergeCell ref="J107:T107"/>
    <mergeCell ref="K121:L121"/>
    <mergeCell ref="K119:L119"/>
    <mergeCell ref="K120:L120"/>
    <mergeCell ref="I121:J121"/>
    <mergeCell ref="C127:C133"/>
    <mergeCell ref="C111:I111"/>
    <mergeCell ref="C119:C126"/>
    <mergeCell ref="I119:J119"/>
    <mergeCell ref="I120:J120"/>
    <mergeCell ref="I127:J127"/>
    <mergeCell ref="D123:D124"/>
    <mergeCell ref="D129:D131"/>
    <mergeCell ref="E129:G129"/>
    <mergeCell ref="K139:L139"/>
    <mergeCell ref="K140:L140"/>
    <mergeCell ref="I142:J142"/>
    <mergeCell ref="K135:L135"/>
    <mergeCell ref="I136:L136"/>
    <mergeCell ref="I137:J137"/>
    <mergeCell ref="K137:L137"/>
    <mergeCell ref="K141:L141"/>
    <mergeCell ref="K142:L142"/>
    <mergeCell ref="K138:L138"/>
    <mergeCell ref="I129:L129"/>
    <mergeCell ref="C134:C142"/>
    <mergeCell ref="I138:J138"/>
    <mergeCell ref="I139:J139"/>
    <mergeCell ref="I140:J140"/>
    <mergeCell ref="I141:J141"/>
    <mergeCell ref="I135:J135"/>
    <mergeCell ref="I134:J134"/>
    <mergeCell ref="D136:D138"/>
    <mergeCell ref="E136:G136"/>
    <mergeCell ref="C148:U148"/>
    <mergeCell ref="C77:M78"/>
    <mergeCell ref="K128:L128"/>
    <mergeCell ref="K134:L134"/>
    <mergeCell ref="I130:J130"/>
    <mergeCell ref="I131:J131"/>
    <mergeCell ref="K130:L130"/>
    <mergeCell ref="K131:L131"/>
    <mergeCell ref="I133:L133"/>
    <mergeCell ref="I132:L132"/>
  </mergeCells>
  <printOptions/>
  <pageMargins left="0.23" right="0.21" top="0.75" bottom="0.65" header="0.29" footer="0.16"/>
  <pageSetup blackAndWhite="1" horizontalDpi="600" verticalDpi="600" orientation="landscape" r:id="rId4"/>
  <headerFooter alignWithMargins="0">
    <oddHeader>&amp;CSoil Cleanup Level for Individual Hazardous Substances (Washington State Department of Ecology)&amp;RPage &amp;P</oddHeader>
    <oddFooter>&amp;C&amp;F&amp;R&amp;D</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2"/>
  <dimension ref="A3:S38"/>
  <sheetViews>
    <sheetView showGridLines="0" showRowColHeaders="0" zoomScale="203" zoomScaleNormal="203" zoomScalePageLayoutView="0" workbookViewId="0" topLeftCell="A3">
      <selection activeCell="B1" sqref="B1"/>
    </sheetView>
  </sheetViews>
  <sheetFormatPr defaultColWidth="9.140625" defaultRowHeight="18" customHeight="1"/>
  <cols>
    <col min="1" max="1" width="1.421875" style="299" customWidth="1"/>
    <col min="2" max="2" width="11.421875" style="299" customWidth="1"/>
    <col min="3" max="3" width="10.57421875" style="299" customWidth="1"/>
    <col min="4" max="4" width="14.8515625" style="306" customWidth="1"/>
    <col min="5" max="5" width="10.00390625" style="307" customWidth="1"/>
    <col min="6" max="6" width="5.57421875" style="308" customWidth="1"/>
    <col min="7" max="7" width="6.8515625" style="299" customWidth="1"/>
    <col min="8" max="8" width="5.57421875" style="299" customWidth="1"/>
    <col min="9" max="9" width="4.140625" style="299" customWidth="1"/>
    <col min="10" max="10" width="8.28125" style="299" hidden="1" customWidth="1"/>
    <col min="11" max="11" width="2.28125" style="299" hidden="1" customWidth="1"/>
    <col min="12" max="12" width="18.140625" style="299" customWidth="1"/>
    <col min="13" max="13" width="4.8515625" style="299" customWidth="1"/>
    <col min="14" max="16" width="9.140625" style="299" customWidth="1"/>
    <col min="17" max="17" width="9.8515625" style="299" bestFit="1" customWidth="1"/>
    <col min="18" max="18" width="2.57421875" style="299" customWidth="1"/>
    <col min="19" max="19" width="9.8515625" style="299" customWidth="1"/>
    <col min="20" max="16384" width="9.140625" style="299" customWidth="1"/>
  </cols>
  <sheetData>
    <row r="1" ht="11.25" customHeight="1" hidden="1"/>
    <row r="2" ht="12.75" customHeight="1" hidden="1"/>
    <row r="3" spans="1:18" ht="18" customHeight="1">
      <c r="A3" s="32"/>
      <c r="B3" s="89" t="s">
        <v>209</v>
      </c>
      <c r="C3" s="32"/>
      <c r="D3" s="35"/>
      <c r="E3" s="36"/>
      <c r="F3" s="37"/>
      <c r="G3" s="32"/>
      <c r="H3" s="32"/>
      <c r="I3" s="32"/>
      <c r="J3" s="32"/>
      <c r="K3" s="32"/>
      <c r="L3" s="32"/>
      <c r="M3" s="32"/>
      <c r="N3" s="32"/>
      <c r="O3" s="34"/>
      <c r="P3" s="34"/>
      <c r="Q3" s="32"/>
      <c r="R3" s="32"/>
    </row>
    <row r="4" spans="1:18" ht="18" customHeight="1">
      <c r="A4" s="32"/>
      <c r="B4" s="243" t="str">
        <f>'Method B Soil_CLU'!B3</f>
        <v>Date:</v>
      </c>
      <c r="C4" s="32"/>
      <c r="D4" s="245">
        <f>'Method B Soil_CLU'!D3</f>
        <v>38944</v>
      </c>
      <c r="E4" s="36"/>
      <c r="F4" s="37"/>
      <c r="G4" s="32"/>
      <c r="H4" s="32"/>
      <c r="I4" s="32"/>
      <c r="J4" s="32"/>
      <c r="K4" s="32"/>
      <c r="L4" s="32"/>
      <c r="M4" s="32"/>
      <c r="N4" s="32"/>
      <c r="O4" s="34"/>
      <c r="P4" s="34"/>
      <c r="Q4" s="32"/>
      <c r="R4" s="32"/>
    </row>
    <row r="5" spans="1:18" ht="18" customHeight="1">
      <c r="A5" s="32"/>
      <c r="B5" s="243" t="str">
        <f>'Method B Soil_CLU'!B4</f>
        <v>Site Name:</v>
      </c>
      <c r="C5" s="32"/>
      <c r="D5" s="245" t="str">
        <f>'Method B Soil_CLU'!D4</f>
        <v>Rooster's Farms in Benton County</v>
      </c>
      <c r="E5" s="36"/>
      <c r="F5" s="37"/>
      <c r="G5" s="32"/>
      <c r="H5" s="32"/>
      <c r="I5" s="32"/>
      <c r="J5" s="32"/>
      <c r="K5" s="32"/>
      <c r="L5" s="32"/>
      <c r="M5" s="32"/>
      <c r="N5" s="32"/>
      <c r="O5" s="34"/>
      <c r="P5" s="34"/>
      <c r="Q5" s="32"/>
      <c r="R5" s="32"/>
    </row>
    <row r="6" spans="1:18" ht="18" customHeight="1">
      <c r="A6" s="32"/>
      <c r="B6" s="244" t="str">
        <f>'Method B Soil_CLU'!B5</f>
        <v>Evaluator:</v>
      </c>
      <c r="C6" s="50"/>
      <c r="D6" s="246" t="str">
        <f>'Method B Soil_CLU'!D5</f>
        <v>Hun Seak Park</v>
      </c>
      <c r="E6" s="85"/>
      <c r="F6" s="242"/>
      <c r="G6" s="50"/>
      <c r="H6" s="50"/>
      <c r="I6" s="50"/>
      <c r="J6" s="50"/>
      <c r="K6" s="50"/>
      <c r="L6" s="50"/>
      <c r="M6" s="50"/>
      <c r="N6" s="50"/>
      <c r="O6" s="34"/>
      <c r="P6" s="34"/>
      <c r="Q6" s="32"/>
      <c r="R6" s="32"/>
    </row>
    <row r="7" spans="1:18" ht="19.5" customHeight="1">
      <c r="A7" s="32"/>
      <c r="B7" s="100" t="s">
        <v>217</v>
      </c>
      <c r="C7" s="32"/>
      <c r="D7" s="35"/>
      <c r="E7" s="36"/>
      <c r="F7" s="37"/>
      <c r="G7" s="32"/>
      <c r="H7" s="32"/>
      <c r="I7" s="32"/>
      <c r="J7" s="32"/>
      <c r="K7" s="32"/>
      <c r="L7" s="32"/>
      <c r="M7" s="32"/>
      <c r="N7" s="32"/>
      <c r="O7" s="34"/>
      <c r="P7" s="34"/>
      <c r="Q7" s="34"/>
      <c r="R7" s="32"/>
    </row>
    <row r="8" spans="1:18" ht="47.25" customHeight="1">
      <c r="A8" s="32"/>
      <c r="B8" s="73"/>
      <c r="C8" s="32"/>
      <c r="D8" s="35"/>
      <c r="E8" s="36"/>
      <c r="F8" s="37"/>
      <c r="G8" s="32"/>
      <c r="H8" s="32"/>
      <c r="I8" s="32"/>
      <c r="J8" s="32"/>
      <c r="K8" s="32"/>
      <c r="L8" s="32"/>
      <c r="M8" s="32"/>
      <c r="N8" s="32"/>
      <c r="O8" s="34"/>
      <c r="P8" s="34"/>
      <c r="Q8" s="34"/>
      <c r="R8" s="32"/>
    </row>
    <row r="9" spans="1:18" ht="29.25" customHeight="1" thickBot="1">
      <c r="A9" s="32"/>
      <c r="B9" s="111" t="s">
        <v>95</v>
      </c>
      <c r="C9" s="111"/>
      <c r="D9" s="112" t="str">
        <f>'Method B Soil_CLU'!T13</f>
        <v>DDT</v>
      </c>
      <c r="E9" s="40"/>
      <c r="F9" s="113"/>
      <c r="G9" s="38"/>
      <c r="H9" s="38"/>
      <c r="I9" s="38"/>
      <c r="J9" s="38"/>
      <c r="K9" s="38"/>
      <c r="L9" s="38"/>
      <c r="M9" s="32"/>
      <c r="N9" s="32"/>
      <c r="O9" s="32"/>
      <c r="P9" s="32"/>
      <c r="Q9" s="32"/>
      <c r="R9" s="32"/>
    </row>
    <row r="10" spans="1:18" ht="12" customHeight="1" thickTop="1">
      <c r="A10" s="32"/>
      <c r="B10" s="151"/>
      <c r="C10" s="151"/>
      <c r="D10" s="152"/>
      <c r="E10" s="36"/>
      <c r="F10" s="37"/>
      <c r="G10" s="34"/>
      <c r="H10" s="34"/>
      <c r="I10" s="34"/>
      <c r="J10" s="34"/>
      <c r="K10" s="34"/>
      <c r="L10" s="34"/>
      <c r="M10" s="32"/>
      <c r="N10" s="32"/>
      <c r="O10" s="32"/>
      <c r="P10" s="32"/>
      <c r="Q10" s="32"/>
      <c r="R10" s="32"/>
    </row>
    <row r="11" spans="1:18" ht="18.75" customHeight="1" thickBot="1">
      <c r="A11" s="32"/>
      <c r="B11" s="66" t="s">
        <v>208</v>
      </c>
      <c r="C11" s="32"/>
      <c r="D11" s="35"/>
      <c r="E11" s="36"/>
      <c r="F11" s="37"/>
      <c r="G11" s="32"/>
      <c r="H11" s="32"/>
      <c r="I11" s="32"/>
      <c r="J11" s="32"/>
      <c r="K11" s="32"/>
      <c r="L11" s="32"/>
      <c r="M11" s="32"/>
      <c r="N11" s="32"/>
      <c r="O11" s="32"/>
      <c r="P11" s="32"/>
      <c r="Q11" s="32"/>
      <c r="R11" s="32"/>
    </row>
    <row r="12" spans="1:18" ht="18" customHeight="1" thickBot="1">
      <c r="A12" s="32"/>
      <c r="B12" s="452" t="s">
        <v>212</v>
      </c>
      <c r="C12" s="453"/>
      <c r="D12" s="453"/>
      <c r="E12" s="453"/>
      <c r="F12" s="453"/>
      <c r="G12" s="453"/>
      <c r="H12" s="453"/>
      <c r="I12" s="453"/>
      <c r="J12" s="453"/>
      <c r="K12" s="341"/>
      <c r="L12" s="342" t="s">
        <v>125</v>
      </c>
      <c r="M12" s="32"/>
      <c r="N12" s="32"/>
      <c r="O12" s="32"/>
      <c r="P12" s="32"/>
      <c r="Q12" s="32"/>
      <c r="R12" s="32"/>
    </row>
    <row r="13" spans="1:19" ht="18" customHeight="1" thickTop="1">
      <c r="A13" s="32"/>
      <c r="B13" s="153" t="s">
        <v>123</v>
      </c>
      <c r="C13" s="74"/>
      <c r="D13" s="75"/>
      <c r="E13" s="76"/>
      <c r="F13" s="76"/>
      <c r="G13" s="74"/>
      <c r="H13" s="74"/>
      <c r="I13" s="74"/>
      <c r="J13" s="74"/>
      <c r="K13" s="74"/>
      <c r="L13" s="148">
        <f>IF(ISBLANK(RfDo),"N/A",IF(Carcino?=2,"N/A",IF(ISERROR((RfDo*ABW_N*UCF_NG*HQ/(DWIR_NG*INH_NG*DWF_NG))),"N/A",(RfDo*ABW_N*UCF_NG*HQ/(DWIR_NG*INH_NG*DWF_NG)))))</f>
        <v>8</v>
      </c>
      <c r="M13" s="32"/>
      <c r="N13" s="32"/>
      <c r="O13" s="32"/>
      <c r="P13" s="32"/>
      <c r="Q13" s="32"/>
      <c r="R13" s="32"/>
      <c r="S13" s="343"/>
    </row>
    <row r="14" spans="1:19" ht="18" customHeight="1">
      <c r="A14" s="32"/>
      <c r="B14" s="154" t="s">
        <v>121</v>
      </c>
      <c r="C14" s="59"/>
      <c r="D14" s="77"/>
      <c r="E14" s="78"/>
      <c r="F14" s="78"/>
      <c r="G14" s="59"/>
      <c r="H14" s="59"/>
      <c r="I14" s="59"/>
      <c r="J14" s="59"/>
      <c r="K14" s="59"/>
      <c r="L14" s="149">
        <f>IF(ISERROR((RISK*ABW_CG*LIFE_C*UCF_CG/(CPFo*DWIR_CG*DUR_CG*INH_CG*DWF_CG))),"N/A",IF(Carcino?=0,"N/A",(RISK*ABW_CG*LIFE_C*UCF_CG/(CPFo*DWIR_CG*DUR_CG*INH_CG*DWF_CG))))</f>
        <v>0.2573529411764705</v>
      </c>
      <c r="M14" s="32"/>
      <c r="N14" s="32"/>
      <c r="O14" s="32"/>
      <c r="P14" s="32"/>
      <c r="Q14" s="344"/>
      <c r="R14" s="32"/>
      <c r="S14" s="345"/>
    </row>
    <row r="15" spans="1:19" ht="18" customHeight="1">
      <c r="A15" s="32"/>
      <c r="B15" s="154" t="s">
        <v>122</v>
      </c>
      <c r="C15" s="47"/>
      <c r="D15" s="48"/>
      <c r="E15" s="79"/>
      <c r="F15" s="79"/>
      <c r="G15" s="47"/>
      <c r="H15" s="47"/>
      <c r="I15" s="47"/>
      <c r="J15" s="47"/>
      <c r="K15" s="47"/>
      <c r="L15" s="149">
        <f>IF(ISERROR((RISK*ABW_CG*LIFE_C*UCF_CG/(CPFo*DWIR_CG*DUR_CG*INH_CG*DWF_CG))*10),"N/A",IF(Carcino?=0,"N/A",(RISK*ABW_CG*LIFE_C*UCF_CG/(CPFo*DWIR_CG*DUR_CG*INH_CG*DWF_CG))*10))</f>
        <v>2.573529411764705</v>
      </c>
      <c r="M15" s="32"/>
      <c r="N15" s="32"/>
      <c r="O15" s="32"/>
      <c r="P15" s="32"/>
      <c r="Q15" s="344"/>
      <c r="R15" s="32"/>
      <c r="S15" s="345"/>
    </row>
    <row r="16" spans="1:19" ht="18" customHeight="1">
      <c r="A16" s="32"/>
      <c r="B16" s="155" t="s">
        <v>215</v>
      </c>
      <c r="C16" s="47"/>
      <c r="D16" s="48"/>
      <c r="E16" s="79"/>
      <c r="F16" s="79"/>
      <c r="G16" s="47"/>
      <c r="H16" s="47"/>
      <c r="I16" s="47" t="s">
        <v>221</v>
      </c>
      <c r="J16" s="47"/>
      <c r="K16" s="47"/>
      <c r="L16" s="156">
        <v>0.01</v>
      </c>
      <c r="M16" s="32"/>
      <c r="N16" s="32"/>
      <c r="O16" s="32"/>
      <c r="P16" s="32"/>
      <c r="Q16" s="344"/>
      <c r="R16" s="32"/>
      <c r="S16" s="345"/>
    </row>
    <row r="17" spans="1:19" ht="18" customHeight="1">
      <c r="A17" s="32"/>
      <c r="B17" s="155" t="s">
        <v>216</v>
      </c>
      <c r="C17" s="47"/>
      <c r="D17" s="48"/>
      <c r="E17" s="79"/>
      <c r="F17" s="79"/>
      <c r="G17" s="47"/>
      <c r="H17" s="47"/>
      <c r="I17" s="47"/>
      <c r="J17" s="47"/>
      <c r="K17" s="47"/>
      <c r="L17" s="156"/>
      <c r="M17" s="32"/>
      <c r="N17" s="32"/>
      <c r="O17" s="32"/>
      <c r="P17" s="32"/>
      <c r="Q17" s="344"/>
      <c r="R17" s="32"/>
      <c r="S17" s="345"/>
    </row>
    <row r="18" spans="1:19" ht="17.25" customHeight="1" thickBot="1">
      <c r="A18" s="32"/>
      <c r="B18" s="157" t="s">
        <v>147</v>
      </c>
      <c r="C18" s="70"/>
      <c r="D18" s="80"/>
      <c r="E18" s="81"/>
      <c r="F18" s="81"/>
      <c r="G18" s="70"/>
      <c r="H18" s="70"/>
      <c r="I18" s="70"/>
      <c r="J18" s="70"/>
      <c r="K18" s="70"/>
      <c r="L18" s="158"/>
      <c r="M18" s="32"/>
      <c r="N18" s="32"/>
      <c r="O18" s="32"/>
      <c r="P18" s="32"/>
      <c r="Q18" s="32"/>
      <c r="R18" s="32"/>
      <c r="S18" s="345"/>
    </row>
    <row r="19" spans="1:18" ht="18" customHeight="1" hidden="1">
      <c r="A19" s="32"/>
      <c r="B19" s="159"/>
      <c r="C19" s="34"/>
      <c r="D19" s="35"/>
      <c r="E19" s="37"/>
      <c r="F19" s="37"/>
      <c r="G19" s="34"/>
      <c r="H19" s="34"/>
      <c r="I19" s="34"/>
      <c r="J19" s="34"/>
      <c r="K19" s="34"/>
      <c r="L19" s="160"/>
      <c r="M19" s="32"/>
      <c r="N19" s="32"/>
      <c r="O19" s="32"/>
      <c r="P19" s="32"/>
      <c r="Q19" s="32"/>
      <c r="R19" s="32"/>
    </row>
    <row r="20" spans="1:18" ht="18" customHeight="1" hidden="1">
      <c r="A20" s="32"/>
      <c r="B20" s="159"/>
      <c r="C20" s="34"/>
      <c r="D20" s="35"/>
      <c r="E20" s="37"/>
      <c r="F20" s="37"/>
      <c r="G20" s="34"/>
      <c r="H20" s="34"/>
      <c r="I20" s="34"/>
      <c r="J20" s="34"/>
      <c r="K20" s="34"/>
      <c r="L20" s="160"/>
      <c r="M20" s="32"/>
      <c r="N20" s="32"/>
      <c r="O20" s="32"/>
      <c r="P20" s="32"/>
      <c r="Q20" s="32"/>
      <c r="R20" s="32"/>
    </row>
    <row r="21" spans="1:18" ht="18" customHeight="1" hidden="1">
      <c r="A21" s="32"/>
      <c r="B21" s="159"/>
      <c r="C21" s="34"/>
      <c r="D21" s="35"/>
      <c r="E21" s="37"/>
      <c r="F21" s="37"/>
      <c r="G21" s="34"/>
      <c r="H21" s="34"/>
      <c r="I21" s="34"/>
      <c r="J21" s="34"/>
      <c r="K21" s="34"/>
      <c r="L21" s="160"/>
      <c r="M21" s="32"/>
      <c r="N21" s="32"/>
      <c r="O21" s="32"/>
      <c r="P21" s="32"/>
      <c r="Q21" s="32"/>
      <c r="R21" s="32"/>
    </row>
    <row r="22" spans="1:18" ht="18" customHeight="1" hidden="1">
      <c r="A22" s="32"/>
      <c r="B22" s="96"/>
      <c r="C22" s="34"/>
      <c r="D22" s="35"/>
      <c r="E22" s="37"/>
      <c r="F22" s="37"/>
      <c r="G22" s="34"/>
      <c r="H22" s="34"/>
      <c r="I22" s="34"/>
      <c r="J22" s="34"/>
      <c r="K22" s="34"/>
      <c r="L22" s="160"/>
      <c r="M22" s="32"/>
      <c r="N22" s="32"/>
      <c r="O22" s="32"/>
      <c r="P22" s="32"/>
      <c r="Q22" s="32"/>
      <c r="R22" s="32"/>
    </row>
    <row r="23" spans="1:18" ht="18" customHeight="1" hidden="1">
      <c r="A23" s="32"/>
      <c r="B23" s="96"/>
      <c r="C23" s="34"/>
      <c r="D23" s="35"/>
      <c r="E23" s="37"/>
      <c r="F23" s="37"/>
      <c r="G23" s="34"/>
      <c r="H23" s="34"/>
      <c r="I23" s="34"/>
      <c r="J23" s="34"/>
      <c r="K23" s="34"/>
      <c r="L23" s="160"/>
      <c r="M23" s="32"/>
      <c r="N23" s="32"/>
      <c r="O23" s="32"/>
      <c r="P23" s="32"/>
      <c r="Q23" s="32"/>
      <c r="R23" s="32"/>
    </row>
    <row r="24" spans="1:18" ht="9.75" customHeight="1">
      <c r="A24" s="32"/>
      <c r="B24" s="96"/>
      <c r="C24" s="34"/>
      <c r="D24" s="35"/>
      <c r="E24" s="37"/>
      <c r="F24" s="37"/>
      <c r="G24" s="34"/>
      <c r="H24" s="34"/>
      <c r="I24" s="34"/>
      <c r="J24" s="34"/>
      <c r="K24" s="34"/>
      <c r="L24" s="160"/>
      <c r="M24" s="32"/>
      <c r="N24" s="32"/>
      <c r="O24" s="32"/>
      <c r="P24" s="32"/>
      <c r="Q24" s="32"/>
      <c r="R24" s="32"/>
    </row>
    <row r="25" spans="1:18" ht="18" customHeight="1" thickBot="1">
      <c r="A25" s="32"/>
      <c r="B25" s="97"/>
      <c r="C25" s="63"/>
      <c r="D25" s="64"/>
      <c r="E25" s="161" t="s">
        <v>218</v>
      </c>
      <c r="F25" s="98"/>
      <c r="G25" s="63"/>
      <c r="H25" s="63"/>
      <c r="I25" s="63"/>
      <c r="J25" s="63"/>
      <c r="K25" s="63"/>
      <c r="L25" s="162">
        <f>MAX(PQL,NBG,IF(ISNUMBER(ARAR_Comp),IF(MIN(NC_GW_HQ,C_GW_Risk_5)&gt;ARAR_Comp,ARAR_Comp,IF(MAX(NC_GW_HQ,C_GW_RISK,C_GW_Risk_5)&lt;ARAR_Comp,MIN(NC_GW_HQ,C_GW_Risk_5),IF(C_GW_Risk_5&gt;NC_GW_HQ,NC_GW_HQ,C_GW_Risk_5))),MIN(NC_GW_HQ,C_GW_RISK)))</f>
        <v>0.2573529411764705</v>
      </c>
      <c r="M25" s="32"/>
      <c r="N25" s="32"/>
      <c r="O25" s="32"/>
      <c r="P25" s="32"/>
      <c r="Q25" s="32"/>
      <c r="R25" s="32"/>
    </row>
    <row r="26" spans="1:18" ht="12.75" customHeight="1">
      <c r="A26" s="32"/>
      <c r="B26" s="34"/>
      <c r="C26" s="34"/>
      <c r="D26" s="35"/>
      <c r="E26" s="67"/>
      <c r="F26" s="37"/>
      <c r="G26" s="34"/>
      <c r="H26" s="34"/>
      <c r="I26" s="34"/>
      <c r="J26" s="34"/>
      <c r="K26" s="34"/>
      <c r="L26" s="147"/>
      <c r="M26" s="32"/>
      <c r="N26" s="32"/>
      <c r="O26" s="32"/>
      <c r="P26" s="32"/>
      <c r="Q26" s="32"/>
      <c r="R26" s="32"/>
    </row>
    <row r="27" spans="1:18" ht="21.75" customHeight="1" thickBot="1">
      <c r="A27" s="32"/>
      <c r="B27" s="66" t="s">
        <v>210</v>
      </c>
      <c r="C27" s="32"/>
      <c r="D27" s="35"/>
      <c r="E27" s="82"/>
      <c r="F27" s="37"/>
      <c r="G27" s="32"/>
      <c r="H27" s="32"/>
      <c r="I27" s="32"/>
      <c r="J27" s="32"/>
      <c r="K27" s="32"/>
      <c r="L27" s="101"/>
      <c r="M27" s="32"/>
      <c r="N27" s="32"/>
      <c r="O27" s="32"/>
      <c r="P27" s="32"/>
      <c r="Q27" s="32"/>
      <c r="R27" s="32"/>
    </row>
    <row r="28" spans="1:18" ht="18" customHeight="1" thickBot="1">
      <c r="A28" s="32"/>
      <c r="B28" s="452" t="str">
        <f>B12</f>
        <v>Basis for Groundwater Concentration</v>
      </c>
      <c r="C28" s="454"/>
      <c r="D28" s="454"/>
      <c r="E28" s="454"/>
      <c r="F28" s="454"/>
      <c r="G28" s="454"/>
      <c r="H28" s="454"/>
      <c r="I28" s="454"/>
      <c r="J28" s="455"/>
      <c r="K28" s="346"/>
      <c r="L28" s="347" t="str">
        <f>L12</f>
        <v>Concentration, ug/l</v>
      </c>
      <c r="M28" s="32"/>
      <c r="N28" s="32"/>
      <c r="O28" s="32"/>
      <c r="P28" s="32"/>
      <c r="Q28" s="32"/>
      <c r="R28" s="32"/>
    </row>
    <row r="29" spans="1:18" ht="18" customHeight="1" thickTop="1">
      <c r="A29" s="32"/>
      <c r="B29" s="247" t="str">
        <f>B13</f>
        <v>Concentration based on non-carcinogenic risk  @ HQ=1.0</v>
      </c>
      <c r="C29" s="163"/>
      <c r="D29" s="164"/>
      <c r="E29" s="163"/>
      <c r="F29" s="163"/>
      <c r="G29" s="163"/>
      <c r="H29" s="163"/>
      <c r="I29" s="163"/>
      <c r="J29" s="163"/>
      <c r="K29" s="163"/>
      <c r="L29" s="148">
        <f>IF(ISBLANK(RfDo),"N/A",IF(Carcino?=2,"N/A",IF(ISERROR((RfDo*ABW_N*UCF_NG*HQ/(DWIR_NG*INH_NG*DWF_NG))),"N/A",(RfDo*70*UCF_NG*HQ/(2*INH_NG*DWF_NG)))))</f>
        <v>17.5</v>
      </c>
      <c r="M29" s="32"/>
      <c r="N29" s="32"/>
      <c r="O29" s="32"/>
      <c r="P29" s="32"/>
      <c r="Q29" s="32"/>
      <c r="R29" s="32"/>
    </row>
    <row r="30" spans="1:18" ht="18" customHeight="1" hidden="1">
      <c r="A30" s="32"/>
      <c r="B30" s="248" t="s">
        <v>92</v>
      </c>
      <c r="C30" s="165"/>
      <c r="D30" s="166"/>
      <c r="E30" s="165"/>
      <c r="F30" s="165"/>
      <c r="G30" s="165"/>
      <c r="H30" s="165"/>
      <c r="I30" s="165"/>
      <c r="J30" s="165"/>
      <c r="K30" s="165"/>
      <c r="L30" s="149">
        <f>IF(ISERROR((RISK*ABW_CG*LIFE_C*UCF_CG/(CPFo*DWIR_CG*DUR_CG*INH_CG*DWF_CG))),"N/A",IF(Carcino?=0,"N/A",(RISK*ABW_CG*LIFE_C*UCF_CG/(CPFo*DWIR_CG*DUR_CG*INH_CG*DWF_CG))))</f>
        <v>0.2573529411764705</v>
      </c>
      <c r="M30" s="32"/>
      <c r="N30" s="32"/>
      <c r="O30" s="32"/>
      <c r="P30" s="32"/>
      <c r="Q30" s="32"/>
      <c r="R30" s="32"/>
    </row>
    <row r="31" spans="1:18" ht="18" customHeight="1">
      <c r="A31" s="32"/>
      <c r="B31" s="248" t="str">
        <f>B15</f>
        <v>Concentration based on carcinogenic risk @ Risk = 1 in 100,000 (1.0E-5)</v>
      </c>
      <c r="C31" s="167"/>
      <c r="D31" s="168"/>
      <c r="E31" s="167"/>
      <c r="F31" s="167"/>
      <c r="G31" s="167"/>
      <c r="H31" s="167"/>
      <c r="I31" s="167"/>
      <c r="J31" s="167"/>
      <c r="K31" s="167"/>
      <c r="L31" s="149">
        <f>IF(ISERROR((RISK*ABW_CG*LIFE_C*UCF_CG/(CPFo*DWIR_CG*DUR_CG*INH_CG*DWF_CG))*10),"N/A",IF(Carcino?=0,"N/A",(RISK*ABW_CG*LIFE_C*UCF_CG/(CPFo*DWIR_CG*DUR_CG*INH_CG*DWF_CG))*10))</f>
        <v>2.573529411764705</v>
      </c>
      <c r="M31" s="32"/>
      <c r="N31" s="32"/>
      <c r="O31" s="32"/>
      <c r="P31" s="32"/>
      <c r="Q31" s="32"/>
      <c r="R31" s="32"/>
    </row>
    <row r="32" spans="1:18" ht="18" customHeight="1">
      <c r="A32" s="32"/>
      <c r="B32" s="249" t="s">
        <v>213</v>
      </c>
      <c r="C32" s="167"/>
      <c r="D32" s="168"/>
      <c r="E32" s="167"/>
      <c r="F32" s="167"/>
      <c r="G32" s="167"/>
      <c r="H32" s="167"/>
      <c r="I32" s="167"/>
      <c r="J32" s="167"/>
      <c r="K32" s="167"/>
      <c r="L32" s="150">
        <f>IF(ISBLANK(PQL),"N/A",PQL)</f>
        <v>0.01</v>
      </c>
      <c r="M32" s="32"/>
      <c r="N32" s="32"/>
      <c r="O32" s="32"/>
      <c r="P32" s="32"/>
      <c r="Q32" s="32"/>
      <c r="R32" s="32"/>
    </row>
    <row r="33" spans="1:18" ht="18" customHeight="1">
      <c r="A33" s="32"/>
      <c r="B33" s="249" t="s">
        <v>214</v>
      </c>
      <c r="C33" s="167"/>
      <c r="D33" s="168"/>
      <c r="E33" s="167"/>
      <c r="F33" s="167"/>
      <c r="G33" s="167"/>
      <c r="H33" s="167"/>
      <c r="I33" s="167"/>
      <c r="J33" s="167"/>
      <c r="K33" s="167"/>
      <c r="L33" s="150" t="str">
        <f>IF(ISBLANK(NBG),"N/A",NBG)</f>
        <v>N/A</v>
      </c>
      <c r="M33" s="32"/>
      <c r="N33" s="32"/>
      <c r="O33" s="32"/>
      <c r="P33" s="32"/>
      <c r="Q33" s="32"/>
      <c r="R33" s="32"/>
    </row>
    <row r="34" spans="1:18" ht="18" customHeight="1" thickBot="1">
      <c r="A34" s="32"/>
      <c r="B34" s="157" t="s">
        <v>124</v>
      </c>
      <c r="C34" s="70"/>
      <c r="D34" s="80"/>
      <c r="E34" s="81"/>
      <c r="F34" s="81"/>
      <c r="G34" s="70"/>
      <c r="H34" s="70"/>
      <c r="I34" s="70"/>
      <c r="J34" s="70"/>
      <c r="K34" s="70"/>
      <c r="L34" s="169" t="str">
        <f>IF(ISBLANK(ARAR_Comp),"N/A",ARAR_Comp)</f>
        <v>N/A</v>
      </c>
      <c r="M34" s="32"/>
      <c r="N34" s="32"/>
      <c r="O34" s="32"/>
      <c r="P34" s="32"/>
      <c r="Q34" s="32"/>
      <c r="R34" s="32"/>
    </row>
    <row r="35" spans="1:18" ht="10.5" customHeight="1">
      <c r="A35" s="32"/>
      <c r="B35" s="96"/>
      <c r="C35" s="34"/>
      <c r="D35" s="35"/>
      <c r="E35" s="170"/>
      <c r="F35" s="37"/>
      <c r="G35" s="34"/>
      <c r="H35" s="34"/>
      <c r="I35" s="34"/>
      <c r="J35" s="34"/>
      <c r="K35" s="34"/>
      <c r="L35" s="171"/>
      <c r="M35" s="32"/>
      <c r="N35" s="32"/>
      <c r="O35" s="32"/>
      <c r="P35" s="32"/>
      <c r="Q35" s="32"/>
      <c r="R35" s="32"/>
    </row>
    <row r="36" spans="1:18" ht="18" customHeight="1" thickBot="1">
      <c r="A36" s="32"/>
      <c r="B36" s="97"/>
      <c r="C36" s="63"/>
      <c r="D36" s="64"/>
      <c r="E36" s="161" t="s">
        <v>211</v>
      </c>
      <c r="F36" s="98"/>
      <c r="G36" s="63"/>
      <c r="H36" s="63"/>
      <c r="I36" s="63"/>
      <c r="J36" s="63"/>
      <c r="K36" s="63"/>
      <c r="L36" s="162">
        <f>MAX(PQL,NBG,IF(ISNUMBER(ARAR_Comp),IF(MIN(NC_GW_HQ_MTHODC,C_GW_Risk_5)&gt;ARAR_Comp,ARAR_Comp,IF(MAX(NC_GW_HQ_MTHODC,C_GW_Risk_5)&lt;ARAR_Comp,MIN(NC_GW_HQ_MTHODC,C_GW_Risk_5),IF(C_GW_Risk_5&gt;NC_GW_HQ_MTHODC,NC_GW_HQ_MTHODC,C_GW_Risk_5))),MIN(c_gw_risk_5_METHODC,NC_GW_HQ_MTHODC)))</f>
        <v>2.573529411764705</v>
      </c>
      <c r="M36" s="99"/>
      <c r="N36" s="32"/>
      <c r="O36" s="32"/>
      <c r="P36" s="32"/>
      <c r="Q36" s="32"/>
      <c r="R36" s="32"/>
    </row>
    <row r="37" spans="1:18" ht="12" customHeight="1">
      <c r="A37" s="32"/>
      <c r="B37" s="32"/>
      <c r="C37" s="32"/>
      <c r="D37" s="35"/>
      <c r="E37" s="82"/>
      <c r="F37" s="37"/>
      <c r="G37" s="32"/>
      <c r="H37" s="32"/>
      <c r="I37" s="32"/>
      <c r="J37" s="32"/>
      <c r="K37" s="32"/>
      <c r="L37" s="83"/>
      <c r="M37" s="32"/>
      <c r="N37" s="32"/>
      <c r="O37" s="32"/>
      <c r="P37" s="32"/>
      <c r="Q37" s="32"/>
      <c r="R37" s="32"/>
    </row>
    <row r="38" spans="4:6" ht="18" customHeight="1">
      <c r="D38" s="309"/>
      <c r="E38" s="310"/>
      <c r="F38" s="305"/>
    </row>
  </sheetData>
  <sheetProtection password="CF15" sheet="1"/>
  <mergeCells count="2">
    <mergeCell ref="B12:J12"/>
    <mergeCell ref="B28:J28"/>
  </mergeCells>
  <printOptions/>
  <pageMargins left="0.23" right="0.17" top="0.85" bottom="0.44" header="0.33" footer="0.23"/>
  <pageSetup blackAndWhite="1" horizontalDpi="300" verticalDpi="300" orientation="landscape" r:id="rId3"/>
  <headerFooter alignWithMargins="0">
    <oddHeader>&amp;CPotable Ground Water Cleanup Level for Individual Hazardous Substances (Washington State Department of Ecology)</oddHeader>
    <oddFooter>&amp;C&amp;F&amp;R&amp;D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Hun Seak PARK</Manager>
  <Company>Washington State Department of Ecology; Toxics Cleanup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Soil and Ground Water Cleanup Level for single chemicals</dc:title>
  <dc:subject>MTCA WAC 173-340-720,740, 745, 747, 750</dc:subject>
  <dc:creator>Hun Seak PARK</dc:creator>
  <cp:keywords>3 phase, equilibrium, partitioning, direct soil contact, leaching Method B; Single Substance</cp:keywords>
  <dc:description/>
  <cp:lastModifiedBy>Kallus, Andrew (ECY)</cp:lastModifiedBy>
  <cp:lastPrinted>2023-06-06T15:57:07Z</cp:lastPrinted>
  <dcterms:created xsi:type="dcterms:W3CDTF">2000-12-19T20:41:42Z</dcterms:created>
  <dcterms:modified xsi:type="dcterms:W3CDTF">2023-11-07T16:55:51Z</dcterms:modified>
  <cp:category/>
  <cp:version/>
  <cp:contentType/>
  <cp:contentStatus/>
</cp:coreProperties>
</file>